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Usuário\Downloads\"/>
    </mc:Choice>
  </mc:AlternateContent>
  <xr:revisionPtr revIDLastSave="0" documentId="13_ncr:1_{DE33215C-EA19-4DAF-ACE9-B77006699EB8}" xr6:coauthVersionLast="47" xr6:coauthVersionMax="47" xr10:uidLastSave="{00000000-0000-0000-0000-000000000000}"/>
  <bookViews>
    <workbookView xWindow="-120" yWindow="-120" windowWidth="29040" windowHeight="15840" tabRatio="991" xr2:uid="{00000000-000D-0000-FFFF-FFFF00000000}"/>
  </bookViews>
  <sheets>
    <sheet name="Sintetica (não desonerado)" sheetId="1" r:id="rId1"/>
    <sheet name="Analítica (não desonerado)" sheetId="2" r:id="rId2"/>
    <sheet name="Cronograma (não desonerado)" sheetId="3" r:id="rId3"/>
    <sheet name="BDI (não desonerado)" sheetId="4" r:id="rId4"/>
    <sheet name="Sintética (desonerada)" sheetId="5" state="hidden" r:id="rId5"/>
    <sheet name="BDI (DESONERADO)" sheetId="6" state="hidden" r:id="rId6"/>
    <sheet name="Curva ABC" sheetId="7" state="hidden" r:id="rId7"/>
    <sheet name="Pesquisa de mercado" sheetId="8" state="hidden" r:id="rId8"/>
  </sheets>
  <definedNames>
    <definedName name="Print_Area" localSheetId="2">'Cronograma (não desonerado)'!$A$2:$J$54</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L59" i="3" l="1"/>
  <c r="R34" i="2"/>
  <c r="R28" i="2" s="1"/>
  <c r="R33" i="2"/>
  <c r="R32" i="2"/>
  <c r="R31" i="2"/>
  <c r="R30" i="2"/>
  <c r="R29" i="2"/>
  <c r="R44" i="2"/>
  <c r="R43" i="2"/>
  <c r="R42" i="2"/>
  <c r="R41" i="2"/>
  <c r="R40" i="2"/>
  <c r="R39" i="2"/>
  <c r="R38" i="2" s="1"/>
  <c r="I88" i="2"/>
  <c r="I95" i="2"/>
  <c r="I121" i="2"/>
  <c r="I172" i="2"/>
  <c r="I354" i="2"/>
  <c r="I371" i="2"/>
  <c r="I376" i="2"/>
  <c r="I433" i="2"/>
  <c r="I450" i="2"/>
  <c r="I458" i="2"/>
  <c r="I474" i="2"/>
  <c r="I496" i="2"/>
  <c r="I505" i="2"/>
  <c r="I512" i="2"/>
  <c r="I524" i="2"/>
  <c r="I727" i="2"/>
  <c r="I1169" i="2"/>
  <c r="I1302" i="2"/>
  <c r="I1303" i="2"/>
  <c r="I1301" i="2"/>
  <c r="I1300" i="2"/>
  <c r="I1299" i="2"/>
  <c r="I1298" i="2"/>
  <c r="I1293" i="2"/>
  <c r="I1292" i="2"/>
  <c r="I1291" i="2"/>
  <c r="I1290" i="2"/>
  <c r="I1289" i="2" s="1"/>
  <c r="I1283" i="2"/>
  <c r="I1284" i="2"/>
  <c r="I1285" i="2"/>
  <c r="I1282" i="2"/>
  <c r="I1281" i="2"/>
  <c r="I1280" i="2"/>
  <c r="I1275" i="2"/>
  <c r="I1274" i="2"/>
  <c r="I1273" i="2"/>
  <c r="I1272" i="2" s="1"/>
  <c r="I1268" i="2"/>
  <c r="I1267" i="2"/>
  <c r="I1266" i="2"/>
  <c r="I1265" i="2"/>
  <c r="I1264" i="2" s="1"/>
  <c r="I1260" i="2"/>
  <c r="I1259" i="2"/>
  <c r="I1258" i="2"/>
  <c r="I1257" i="2"/>
  <c r="I1256" i="2"/>
  <c r="I1251" i="2"/>
  <c r="I1250" i="2"/>
  <c r="I1249" i="2"/>
  <c r="I1248" i="2"/>
  <c r="I1245" i="2" s="1"/>
  <c r="I1247" i="2"/>
  <c r="I1246" i="2"/>
  <c r="I1242" i="2"/>
  <c r="I1241" i="2"/>
  <c r="I1240" i="2"/>
  <c r="I1239" i="2"/>
  <c r="I1237" i="2" s="1"/>
  <c r="I1238" i="2"/>
  <c r="R1233" i="2"/>
  <c r="R1232" i="2"/>
  <c r="R1231" i="2"/>
  <c r="R1228" i="2" s="1"/>
  <c r="R1230" i="2"/>
  <c r="R1229" i="2"/>
  <c r="I1233" i="2"/>
  <c r="I1232" i="2"/>
  <c r="I1231" i="2"/>
  <c r="I1230" i="2"/>
  <c r="I1229" i="2"/>
  <c r="I1223" i="2"/>
  <c r="I1224" i="2"/>
  <c r="I1222" i="2"/>
  <c r="I1221" i="2"/>
  <c r="I1220" i="2"/>
  <c r="I1219" i="2"/>
  <c r="I1218" i="2" s="1"/>
  <c r="I1213" i="2"/>
  <c r="I1214" i="2"/>
  <c r="I1208" i="2" s="1"/>
  <c r="I1212" i="2"/>
  <c r="I1211" i="2"/>
  <c r="I1210" i="2"/>
  <c r="I1209" i="2"/>
  <c r="I1204" i="2"/>
  <c r="I1203" i="2"/>
  <c r="I1202" i="2"/>
  <c r="I1201" i="2"/>
  <c r="I1200" i="2" s="1"/>
  <c r="I1195" i="2"/>
  <c r="I1196" i="2"/>
  <c r="I1194" i="2"/>
  <c r="I1193" i="2"/>
  <c r="I1192" i="2"/>
  <c r="I1191" i="2"/>
  <c r="I1190" i="2" s="1"/>
  <c r="I1185" i="2"/>
  <c r="I1182" i="2" s="1"/>
  <c r="I1186" i="2"/>
  <c r="I1184" i="2"/>
  <c r="I1183" i="2"/>
  <c r="I1177" i="2"/>
  <c r="I1176" i="2"/>
  <c r="I1175" i="2" s="1"/>
  <c r="I1171" i="2"/>
  <c r="I1170" i="2"/>
  <c r="I1163" i="2"/>
  <c r="I1164" i="2"/>
  <c r="I1162" i="2"/>
  <c r="I1161" i="2"/>
  <c r="I1159" i="2" s="1"/>
  <c r="I1160" i="2"/>
  <c r="I1154" i="2"/>
  <c r="I1153" i="2"/>
  <c r="I1152" i="2"/>
  <c r="I1151" i="2" s="1"/>
  <c r="I1147" i="2"/>
  <c r="I1146" i="2"/>
  <c r="I1145" i="2"/>
  <c r="I1144" i="2"/>
  <c r="I1139" i="2"/>
  <c r="I1138" i="2"/>
  <c r="I1137" i="2"/>
  <c r="I1136" i="2" s="1"/>
  <c r="I1132" i="2"/>
  <c r="I1131" i="2"/>
  <c r="I1129" i="2" s="1"/>
  <c r="I1130" i="2"/>
  <c r="I1124" i="2"/>
  <c r="I1123" i="2"/>
  <c r="I1119" i="2" s="1"/>
  <c r="I1122" i="2"/>
  <c r="I1121" i="2"/>
  <c r="I1120" i="2"/>
  <c r="I1115" i="2"/>
  <c r="I1114" i="2"/>
  <c r="I1113" i="2"/>
  <c r="I1112" i="2"/>
  <c r="I1111" i="2"/>
  <c r="I1107" i="2"/>
  <c r="I1106" i="2"/>
  <c r="I1105" i="2"/>
  <c r="I1104" i="2"/>
  <c r="I1093" i="2"/>
  <c r="I1099" i="2"/>
  <c r="I1098" i="2"/>
  <c r="I1097" i="2"/>
  <c r="I1096" i="2"/>
  <c r="I1095" i="2"/>
  <c r="I1094" i="2"/>
  <c r="R1087" i="2"/>
  <c r="R1086" i="2"/>
  <c r="R1085" i="2"/>
  <c r="R1084" i="2"/>
  <c r="R1083" i="2"/>
  <c r="R1082" i="2"/>
  <c r="I1087" i="2"/>
  <c r="I1086" i="2"/>
  <c r="I1085" i="2"/>
  <c r="I1084" i="2"/>
  <c r="I1083" i="2"/>
  <c r="R1077" i="2"/>
  <c r="R1076" i="2"/>
  <c r="R1075" i="2"/>
  <c r="R1074" i="2"/>
  <c r="R1073" i="2"/>
  <c r="R1072" i="2"/>
  <c r="R1071" i="2"/>
  <c r="I1077" i="2"/>
  <c r="I1076" i="2"/>
  <c r="I1075" i="2"/>
  <c r="I1074" i="2"/>
  <c r="I1073" i="2"/>
  <c r="I1072" i="2"/>
  <c r="I1061" i="2"/>
  <c r="I1067" i="2"/>
  <c r="I1066" i="2"/>
  <c r="I1065" i="2"/>
  <c r="I1064" i="2"/>
  <c r="I1063" i="2"/>
  <c r="I1062" i="2"/>
  <c r="I1055" i="2"/>
  <c r="I1054" i="2"/>
  <c r="I1053" i="2"/>
  <c r="I1052" i="2"/>
  <c r="I1051" i="2"/>
  <c r="I1050" i="2"/>
  <c r="I1041" i="2"/>
  <c r="I1044" i="2"/>
  <c r="I1045" i="2"/>
  <c r="I1046" i="2"/>
  <c r="I1043" i="2"/>
  <c r="I1042" i="2"/>
  <c r="I1037" i="2"/>
  <c r="I1036" i="2"/>
  <c r="I1035" i="2" s="1"/>
  <c r="I1027" i="2"/>
  <c r="I1030" i="2"/>
  <c r="I1029" i="2"/>
  <c r="I1028" i="2"/>
  <c r="I1017" i="2"/>
  <c r="I1023" i="2"/>
  <c r="I1022" i="2"/>
  <c r="I1021" i="2"/>
  <c r="I1020" i="2"/>
  <c r="I1019" i="2"/>
  <c r="I1018" i="2"/>
  <c r="I1013" i="2"/>
  <c r="I1012" i="2"/>
  <c r="I1011" i="2"/>
  <c r="I1010" i="2"/>
  <c r="I1009" i="2"/>
  <c r="I1008" i="2"/>
  <c r="I999" i="2"/>
  <c r="I1003" i="2"/>
  <c r="I1004" i="2"/>
  <c r="I1002" i="2"/>
  <c r="I1001" i="2"/>
  <c r="I1000" i="2"/>
  <c r="I995" i="2"/>
  <c r="I994" i="2"/>
  <c r="I993" i="2"/>
  <c r="I992" i="2"/>
  <c r="R988" i="2"/>
  <c r="R987" i="2"/>
  <c r="R986" i="2"/>
  <c r="R985" i="2"/>
  <c r="I988" i="2"/>
  <c r="I987" i="2"/>
  <c r="I986" i="2"/>
  <c r="I976" i="2"/>
  <c r="I980" i="2"/>
  <c r="I981" i="2"/>
  <c r="I979" i="2"/>
  <c r="I978" i="2"/>
  <c r="I977" i="2"/>
  <c r="I972" i="2"/>
  <c r="I971" i="2"/>
  <c r="I970" i="2"/>
  <c r="I969" i="2" s="1"/>
  <c r="I961" i="2"/>
  <c r="I963" i="2"/>
  <c r="I964" i="2"/>
  <c r="I965" i="2"/>
  <c r="I962" i="2"/>
  <c r="I956" i="2"/>
  <c r="I957" i="2"/>
  <c r="I947" i="2"/>
  <c r="I949" i="2"/>
  <c r="I948" i="2"/>
  <c r="I935" i="2"/>
  <c r="I940" i="2"/>
  <c r="I942" i="2"/>
  <c r="I943" i="2"/>
  <c r="I941" i="2"/>
  <c r="I936" i="2"/>
  <c r="R931" i="2"/>
  <c r="R930" i="2"/>
  <c r="R929" i="2"/>
  <c r="R928" i="2"/>
  <c r="R927" i="2"/>
  <c r="R926" i="2"/>
  <c r="I931" i="2"/>
  <c r="I930" i="2"/>
  <c r="I929" i="2"/>
  <c r="I928" i="2"/>
  <c r="I927" i="2"/>
  <c r="I915" i="2"/>
  <c r="I920" i="2"/>
  <c r="I921" i="2"/>
  <c r="I919" i="2"/>
  <c r="I918" i="2"/>
  <c r="I917" i="2"/>
  <c r="I916" i="2"/>
  <c r="I907" i="2"/>
  <c r="I911" i="2"/>
  <c r="I910" i="2"/>
  <c r="I909" i="2"/>
  <c r="I908" i="2"/>
  <c r="I900" i="2"/>
  <c r="I903" i="2"/>
  <c r="I902" i="2"/>
  <c r="I901" i="2"/>
  <c r="I892" i="2"/>
  <c r="I896" i="2"/>
  <c r="I895" i="2"/>
  <c r="I894" i="2"/>
  <c r="I893" i="2"/>
  <c r="I885" i="2"/>
  <c r="I888" i="2"/>
  <c r="I887" i="2"/>
  <c r="I886" i="2"/>
  <c r="I875" i="2"/>
  <c r="I880" i="2"/>
  <c r="I881" i="2"/>
  <c r="I879" i="2"/>
  <c r="I878" i="2"/>
  <c r="I877" i="2"/>
  <c r="I876" i="2"/>
  <c r="I871" i="2"/>
  <c r="I870" i="2"/>
  <c r="I869" i="2"/>
  <c r="I868" i="2"/>
  <c r="I867" i="2" s="1"/>
  <c r="I863" i="2"/>
  <c r="I862" i="2"/>
  <c r="I861" i="2"/>
  <c r="I860" i="2"/>
  <c r="I859" i="2" s="1"/>
  <c r="I855" i="2"/>
  <c r="I854" i="2"/>
  <c r="I853" i="2"/>
  <c r="I852" i="2"/>
  <c r="I851" i="2" s="1"/>
  <c r="I847" i="2"/>
  <c r="I846" i="2"/>
  <c r="I845" i="2"/>
  <c r="I844" i="2"/>
  <c r="I843" i="2"/>
  <c r="I835" i="2"/>
  <c r="I839" i="2"/>
  <c r="I838" i="2"/>
  <c r="I837" i="2"/>
  <c r="I836" i="2"/>
  <c r="R831" i="2"/>
  <c r="R830" i="2"/>
  <c r="R829" i="2"/>
  <c r="R828" i="2"/>
  <c r="R827" i="2"/>
  <c r="R826" i="2"/>
  <c r="R823" i="2" s="1"/>
  <c r="R825" i="2"/>
  <c r="R824" i="2"/>
  <c r="I827" i="2"/>
  <c r="I828" i="2"/>
  <c r="I829" i="2"/>
  <c r="I830" i="2"/>
  <c r="I831" i="2"/>
  <c r="I826" i="2"/>
  <c r="I825" i="2"/>
  <c r="I823" i="2" s="1"/>
  <c r="I824" i="2"/>
  <c r="I819" i="2"/>
  <c r="I818" i="2"/>
  <c r="I817" i="2"/>
  <c r="I816" i="2" s="1"/>
  <c r="I812" i="2"/>
  <c r="I811" i="2"/>
  <c r="I810" i="2"/>
  <c r="I809" i="2" s="1"/>
  <c r="I801" i="2"/>
  <c r="I803" i="2"/>
  <c r="I804" i="2"/>
  <c r="I805" i="2"/>
  <c r="I802" i="2"/>
  <c r="I794" i="2"/>
  <c r="I797" i="2"/>
  <c r="I796" i="2"/>
  <c r="I795" i="2"/>
  <c r="I786" i="2"/>
  <c r="I790" i="2"/>
  <c r="I789" i="2"/>
  <c r="I788" i="2"/>
  <c r="I787" i="2"/>
  <c r="I775" i="2"/>
  <c r="I781" i="2"/>
  <c r="I780" i="2"/>
  <c r="I779" i="2"/>
  <c r="I778" i="2"/>
  <c r="I777" i="2"/>
  <c r="I776" i="2"/>
  <c r="I767" i="2"/>
  <c r="I771" i="2"/>
  <c r="I770" i="2"/>
  <c r="I769" i="2"/>
  <c r="I768" i="2"/>
  <c r="I763" i="2"/>
  <c r="I762" i="2"/>
  <c r="I761" i="2"/>
  <c r="I760" i="2"/>
  <c r="I759" i="2"/>
  <c r="I758" i="2"/>
  <c r="I757" i="2" s="1"/>
  <c r="I753" i="2"/>
  <c r="I752" i="2"/>
  <c r="I751" i="2"/>
  <c r="I750" i="2"/>
  <c r="I749" i="2"/>
  <c r="I748" i="2"/>
  <c r="I747" i="2"/>
  <c r="I737" i="2"/>
  <c r="I743" i="2"/>
  <c r="I742" i="2"/>
  <c r="I741" i="2"/>
  <c r="I740" i="2"/>
  <c r="I739" i="2"/>
  <c r="I738" i="2"/>
  <c r="I732" i="2"/>
  <c r="I733" i="2"/>
  <c r="I731" i="2"/>
  <c r="I730" i="2"/>
  <c r="I729" i="2"/>
  <c r="I728" i="2"/>
  <c r="R723" i="2"/>
  <c r="R722" i="2"/>
  <c r="R721" i="2"/>
  <c r="R720" i="2"/>
  <c r="R719" i="2"/>
  <c r="R718" i="2"/>
  <c r="R717" i="2"/>
  <c r="R716" i="2"/>
  <c r="R715" i="2"/>
  <c r="R714" i="2"/>
  <c r="R713" i="2" s="1"/>
  <c r="I720" i="2"/>
  <c r="I721" i="2"/>
  <c r="I722" i="2"/>
  <c r="I723" i="2"/>
  <c r="I719" i="2"/>
  <c r="I718" i="2"/>
  <c r="I717" i="2"/>
  <c r="I716" i="2"/>
  <c r="I715" i="2"/>
  <c r="I714" i="2"/>
  <c r="I713" i="2" s="1"/>
  <c r="I711" i="2"/>
  <c r="I710" i="2"/>
  <c r="I709" i="2"/>
  <c r="I708" i="2"/>
  <c r="I707" i="2"/>
  <c r="I706" i="2"/>
  <c r="I705" i="2"/>
  <c r="I701" i="2"/>
  <c r="I700" i="2"/>
  <c r="I699" i="2"/>
  <c r="I698" i="2"/>
  <c r="I695" i="2" s="1"/>
  <c r="I697" i="2"/>
  <c r="I696" i="2"/>
  <c r="I691" i="2"/>
  <c r="I690" i="2"/>
  <c r="I689" i="2"/>
  <c r="I688" i="2"/>
  <c r="I687" i="2"/>
  <c r="I686" i="2"/>
  <c r="I685" i="2"/>
  <c r="I682" i="2"/>
  <c r="I676" i="2" s="1"/>
  <c r="I681" i="2"/>
  <c r="I680" i="2"/>
  <c r="I679" i="2"/>
  <c r="I678" i="2"/>
  <c r="I677" i="2"/>
  <c r="I672" i="2"/>
  <c r="I671" i="2"/>
  <c r="I670" i="2"/>
  <c r="I669" i="2"/>
  <c r="I668" i="2"/>
  <c r="I667" i="2"/>
  <c r="I666" i="2"/>
  <c r="I662" i="2"/>
  <c r="I661" i="2"/>
  <c r="I660" i="2"/>
  <c r="I659" i="2"/>
  <c r="I658" i="2"/>
  <c r="I657" i="2"/>
  <c r="I656" i="2" s="1"/>
  <c r="I653" i="2"/>
  <c r="I652" i="2"/>
  <c r="I651" i="2"/>
  <c r="I647" i="2" s="1"/>
  <c r="I650" i="2"/>
  <c r="I649" i="2"/>
  <c r="I648" i="2"/>
  <c r="I644" i="2"/>
  <c r="I643" i="2"/>
  <c r="I642" i="2"/>
  <c r="I641" i="2"/>
  <c r="I640" i="2"/>
  <c r="I639" i="2"/>
  <c r="I638" i="2"/>
  <c r="I635" i="2"/>
  <c r="I634" i="2"/>
  <c r="I633" i="2"/>
  <c r="I629" i="2" s="1"/>
  <c r="I632" i="2"/>
  <c r="I631" i="2"/>
  <c r="I630" i="2"/>
  <c r="I626" i="2"/>
  <c r="I625" i="2"/>
  <c r="I624" i="2"/>
  <c r="I623" i="2"/>
  <c r="I622" i="2"/>
  <c r="I621" i="2"/>
  <c r="I620" i="2"/>
  <c r="I616" i="2"/>
  <c r="I615" i="2"/>
  <c r="I614" i="2"/>
  <c r="I613" i="2"/>
  <c r="I612" i="2"/>
  <c r="I611" i="2"/>
  <c r="I610" i="2"/>
  <c r="I607" i="2"/>
  <c r="I606" i="2"/>
  <c r="I605" i="2"/>
  <c r="I604" i="2"/>
  <c r="I601" i="2" s="1"/>
  <c r="I603" i="2"/>
  <c r="I602" i="2"/>
  <c r="I597" i="2"/>
  <c r="I596" i="2"/>
  <c r="I595" i="2"/>
  <c r="I594" i="2"/>
  <c r="I591" i="2" s="1"/>
  <c r="I593" i="2"/>
  <c r="I592" i="2"/>
  <c r="I581" i="2"/>
  <c r="I560" i="2"/>
  <c r="I566" i="2"/>
  <c r="I572" i="2"/>
  <c r="I587" i="2"/>
  <c r="I586" i="2"/>
  <c r="I585" i="2"/>
  <c r="I584" i="2"/>
  <c r="I583" i="2"/>
  <c r="I582" i="2"/>
  <c r="I575" i="2"/>
  <c r="I576" i="2"/>
  <c r="I577" i="2"/>
  <c r="I574" i="2"/>
  <c r="I573" i="2"/>
  <c r="I568" i="2"/>
  <c r="I567" i="2"/>
  <c r="I562" i="2"/>
  <c r="I561" i="2"/>
  <c r="R556" i="2"/>
  <c r="R555" i="2"/>
  <c r="R554" i="2"/>
  <c r="R553" i="2"/>
  <c r="R552" i="2"/>
  <c r="R551" i="2"/>
  <c r="R550" i="2"/>
  <c r="R549" i="2"/>
  <c r="R548" i="2"/>
  <c r="R547" i="2"/>
  <c r="R546" i="2" s="1"/>
  <c r="I552" i="2"/>
  <c r="I553" i="2"/>
  <c r="I554" i="2"/>
  <c r="I555" i="2"/>
  <c r="I556" i="2"/>
  <c r="I551" i="2"/>
  <c r="I550" i="2"/>
  <c r="I549" i="2"/>
  <c r="I548" i="2"/>
  <c r="I547" i="2"/>
  <c r="R542" i="2"/>
  <c r="R541" i="2"/>
  <c r="R540" i="2"/>
  <c r="R539" i="2"/>
  <c r="R538" i="2"/>
  <c r="R537" i="2"/>
  <c r="R536" i="2"/>
  <c r="R535" i="2"/>
  <c r="R534" i="2"/>
  <c r="R532" i="2" s="1"/>
  <c r="R533" i="2"/>
  <c r="I537" i="2"/>
  <c r="I538" i="2"/>
  <c r="I539" i="2"/>
  <c r="I540" i="2"/>
  <c r="I541" i="2"/>
  <c r="I542" i="2"/>
  <c r="I536" i="2"/>
  <c r="I535" i="2"/>
  <c r="I534" i="2"/>
  <c r="I533" i="2"/>
  <c r="I528" i="2"/>
  <c r="I527" i="2"/>
  <c r="I526" i="2"/>
  <c r="I525" i="2"/>
  <c r="I516" i="2"/>
  <c r="I517" i="2"/>
  <c r="I518" i="2"/>
  <c r="I519" i="2"/>
  <c r="I520" i="2"/>
  <c r="I515" i="2"/>
  <c r="I514" i="2"/>
  <c r="I513" i="2"/>
  <c r="I508" i="2"/>
  <c r="I507" i="2"/>
  <c r="I506" i="2"/>
  <c r="R501" i="2"/>
  <c r="R500" i="2"/>
  <c r="R499" i="2"/>
  <c r="R498" i="2"/>
  <c r="R496" i="2" s="1"/>
  <c r="R497" i="2"/>
  <c r="I501" i="2"/>
  <c r="I500" i="2"/>
  <c r="I499" i="2"/>
  <c r="I498" i="2"/>
  <c r="I497" i="2"/>
  <c r="R492" i="2"/>
  <c r="R491" i="2"/>
  <c r="R490" i="2"/>
  <c r="R489" i="2"/>
  <c r="R488" i="2"/>
  <c r="R487" i="2"/>
  <c r="R486" i="2"/>
  <c r="R482" i="2" s="1"/>
  <c r="R485" i="2"/>
  <c r="R484" i="2"/>
  <c r="R483" i="2"/>
  <c r="I485" i="2"/>
  <c r="I486" i="2"/>
  <c r="I487" i="2"/>
  <c r="I488" i="2"/>
  <c r="I489" i="2"/>
  <c r="I490" i="2"/>
  <c r="I491" i="2"/>
  <c r="I492" i="2"/>
  <c r="I484" i="2"/>
  <c r="I483" i="2"/>
  <c r="I478" i="2"/>
  <c r="I477" i="2"/>
  <c r="I476" i="2"/>
  <c r="I475" i="2"/>
  <c r="I464" i="2"/>
  <c r="I467" i="2"/>
  <c r="I468" i="2"/>
  <c r="I469" i="2"/>
  <c r="I470" i="2"/>
  <c r="I466" i="2"/>
  <c r="I465" i="2"/>
  <c r="I460" i="2"/>
  <c r="I459" i="2"/>
  <c r="I453" i="2"/>
  <c r="I454" i="2"/>
  <c r="I452" i="2"/>
  <c r="I451" i="2"/>
  <c r="I441" i="2"/>
  <c r="I444" i="2"/>
  <c r="I445" i="2"/>
  <c r="I446" i="2"/>
  <c r="I443" i="2"/>
  <c r="I442" i="2"/>
  <c r="I435" i="2"/>
  <c r="I434" i="2"/>
  <c r="I425" i="2"/>
  <c r="I429" i="2"/>
  <c r="I428" i="2"/>
  <c r="I427" i="2"/>
  <c r="I426" i="2"/>
  <c r="I417" i="2"/>
  <c r="I420" i="2"/>
  <c r="I419" i="2"/>
  <c r="I418" i="2"/>
  <c r="I413" i="2"/>
  <c r="I412" i="2"/>
  <c r="I411" i="2"/>
  <c r="I410" i="2"/>
  <c r="I409" i="2" s="1"/>
  <c r="I405" i="2"/>
  <c r="I404" i="2"/>
  <c r="I403" i="2"/>
  <c r="I402" i="2" s="1"/>
  <c r="R393" i="2"/>
  <c r="I393" i="2"/>
  <c r="R397" i="2"/>
  <c r="R396" i="2"/>
  <c r="R395" i="2"/>
  <c r="R394" i="2"/>
  <c r="I397" i="2"/>
  <c r="I396" i="2"/>
  <c r="I395" i="2"/>
  <c r="I394" i="2"/>
  <c r="R389" i="2"/>
  <c r="R388" i="2"/>
  <c r="R387" i="2"/>
  <c r="R386" i="2"/>
  <c r="R383" i="2" s="1"/>
  <c r="R385" i="2"/>
  <c r="R384" i="2"/>
  <c r="I386" i="2"/>
  <c r="I387" i="2"/>
  <c r="I388" i="2"/>
  <c r="I389" i="2"/>
  <c r="I385" i="2"/>
  <c r="I384" i="2"/>
  <c r="I378" i="2"/>
  <c r="I377" i="2"/>
  <c r="I373" i="2"/>
  <c r="I372" i="2"/>
  <c r="R367" i="2"/>
  <c r="R366" i="2"/>
  <c r="R365" i="2"/>
  <c r="R364" i="2"/>
  <c r="R363" i="2"/>
  <c r="R362" i="2"/>
  <c r="R361" i="2"/>
  <c r="R360" i="2" s="1"/>
  <c r="I363" i="2"/>
  <c r="I364" i="2"/>
  <c r="I365" i="2"/>
  <c r="I366" i="2"/>
  <c r="I367" i="2"/>
  <c r="I362" i="2"/>
  <c r="I361" i="2"/>
  <c r="I356" i="2"/>
  <c r="I355" i="2"/>
  <c r="R349" i="2"/>
  <c r="R348" i="2"/>
  <c r="R347" i="2"/>
  <c r="R346" i="2"/>
  <c r="R344" i="2" s="1"/>
  <c r="R345" i="2"/>
  <c r="I349" i="2"/>
  <c r="I348" i="2"/>
  <c r="I347" i="2"/>
  <c r="I346" i="2"/>
  <c r="I345" i="2"/>
  <c r="I340" i="2"/>
  <c r="I339" i="2"/>
  <c r="I338" i="2"/>
  <c r="I337" i="2"/>
  <c r="I335" i="2" s="1"/>
  <c r="I336" i="2"/>
  <c r="I326" i="2"/>
  <c r="I328" i="2"/>
  <c r="I329" i="2"/>
  <c r="I330" i="2"/>
  <c r="I331" i="2"/>
  <c r="I327" i="2"/>
  <c r="I321" i="2"/>
  <c r="I320" i="2"/>
  <c r="I319" i="2"/>
  <c r="I318" i="2"/>
  <c r="I313" i="2"/>
  <c r="I312" i="2"/>
  <c r="I310" i="2" s="1"/>
  <c r="I311" i="2"/>
  <c r="I306" i="2"/>
  <c r="I305" i="2"/>
  <c r="I303" i="2" s="1"/>
  <c r="I304" i="2"/>
  <c r="I299" i="2"/>
  <c r="I298" i="2"/>
  <c r="I297" i="2"/>
  <c r="I296" i="2"/>
  <c r="I289" i="2"/>
  <c r="I292" i="2"/>
  <c r="I291" i="2"/>
  <c r="I290" i="2"/>
  <c r="I279" i="2"/>
  <c r="I284" i="2"/>
  <c r="I283" i="2"/>
  <c r="I282" i="2"/>
  <c r="I281" i="2"/>
  <c r="I280" i="2"/>
  <c r="I271" i="2"/>
  <c r="I275" i="2"/>
  <c r="I274" i="2"/>
  <c r="I273" i="2"/>
  <c r="I272" i="2"/>
  <c r="I264" i="2"/>
  <c r="I253" i="2"/>
  <c r="I267" i="2"/>
  <c r="I266" i="2"/>
  <c r="I265" i="2"/>
  <c r="I255" i="2"/>
  <c r="I256" i="2"/>
  <c r="I257" i="2"/>
  <c r="I258" i="2"/>
  <c r="I259" i="2"/>
  <c r="I254" i="2"/>
  <c r="I234" i="2"/>
  <c r="I235" i="2"/>
  <c r="I236" i="2"/>
  <c r="I237" i="2"/>
  <c r="I232" i="2" s="1"/>
  <c r="I238" i="2"/>
  <c r="I239" i="2"/>
  <c r="I240" i="2"/>
  <c r="I241" i="2"/>
  <c r="I242" i="2"/>
  <c r="I243" i="2"/>
  <c r="I244" i="2"/>
  <c r="I245" i="2"/>
  <c r="I246" i="2"/>
  <c r="I247" i="2"/>
  <c r="I233" i="2"/>
  <c r="I221" i="2"/>
  <c r="I222" i="2"/>
  <c r="I223" i="2"/>
  <c r="I224" i="2"/>
  <c r="I219" i="2" s="1"/>
  <c r="I225" i="2"/>
  <c r="I226" i="2"/>
  <c r="I227" i="2"/>
  <c r="I228" i="2"/>
  <c r="I220" i="2"/>
  <c r="R215" i="2"/>
  <c r="R214" i="2"/>
  <c r="R213" i="2"/>
  <c r="R212" i="2"/>
  <c r="R210" i="2" s="1"/>
  <c r="R211" i="2"/>
  <c r="I215" i="2"/>
  <c r="I214" i="2"/>
  <c r="I213" i="2"/>
  <c r="I212" i="2"/>
  <c r="I211" i="2"/>
  <c r="R205" i="2"/>
  <c r="R204" i="2"/>
  <c r="R203" i="2"/>
  <c r="R202" i="2"/>
  <c r="R200" i="2" s="1"/>
  <c r="R201" i="2"/>
  <c r="I200" i="2"/>
  <c r="I205" i="2"/>
  <c r="I204" i="2"/>
  <c r="I203" i="2"/>
  <c r="I202" i="2"/>
  <c r="I201" i="2"/>
  <c r="R189" i="2"/>
  <c r="I179" i="2"/>
  <c r="R195" i="2"/>
  <c r="R194" i="2"/>
  <c r="R193" i="2"/>
  <c r="R192" i="2"/>
  <c r="R191" i="2"/>
  <c r="R190" i="2"/>
  <c r="I195" i="2"/>
  <c r="I194" i="2"/>
  <c r="I193" i="2"/>
  <c r="I192" i="2"/>
  <c r="I191" i="2"/>
  <c r="I190" i="2"/>
  <c r="I182" i="2"/>
  <c r="I183" i="2"/>
  <c r="I184" i="2"/>
  <c r="I185" i="2"/>
  <c r="I181" i="2"/>
  <c r="I180" i="2"/>
  <c r="I174" i="2"/>
  <c r="I173" i="2"/>
  <c r="I166" i="2"/>
  <c r="I165" i="2"/>
  <c r="I164" i="2"/>
  <c r="I163" i="2"/>
  <c r="I162" i="2"/>
  <c r="I161" i="2"/>
  <c r="I160" i="2"/>
  <c r="I159" i="2"/>
  <c r="I158" i="2" s="1"/>
  <c r="I146" i="2"/>
  <c r="I152" i="2"/>
  <c r="I153" i="2"/>
  <c r="I154" i="2"/>
  <c r="I151" i="2"/>
  <c r="I150" i="2"/>
  <c r="I149" i="2"/>
  <c r="I148" i="2"/>
  <c r="I147" i="2"/>
  <c r="I141" i="2"/>
  <c r="I140" i="2"/>
  <c r="I139" i="2"/>
  <c r="I136" i="2" s="1"/>
  <c r="I138" i="2"/>
  <c r="I137" i="2"/>
  <c r="I130" i="2"/>
  <c r="I131" i="2"/>
  <c r="I132" i="2"/>
  <c r="I127" i="2"/>
  <c r="I129" i="2"/>
  <c r="I128" i="2"/>
  <c r="I123" i="2"/>
  <c r="I122" i="2"/>
  <c r="I116" i="2"/>
  <c r="I115" i="2"/>
  <c r="I114" i="2"/>
  <c r="I113" i="2"/>
  <c r="I111" i="2" s="1"/>
  <c r="I112" i="2"/>
  <c r="I106" i="2"/>
  <c r="I107" i="2"/>
  <c r="I103" i="2"/>
  <c r="I104" i="2"/>
  <c r="I105" i="2"/>
  <c r="I59" i="2"/>
  <c r="I51" i="2"/>
  <c r="I60" i="2"/>
  <c r="I55" i="2"/>
  <c r="I54" i="2"/>
  <c r="I53" i="2"/>
  <c r="I52" i="2"/>
  <c r="I98" i="2"/>
  <c r="I97" i="2"/>
  <c r="I96" i="2"/>
  <c r="R91" i="2"/>
  <c r="R90" i="2"/>
  <c r="R89" i="2"/>
  <c r="R88" i="2" s="1"/>
  <c r="I91" i="2"/>
  <c r="I90" i="2"/>
  <c r="I89" i="2"/>
  <c r="I79" i="2"/>
  <c r="I84" i="2"/>
  <c r="I83" i="2"/>
  <c r="I82" i="2"/>
  <c r="I81" i="2"/>
  <c r="I80" i="2"/>
  <c r="I75" i="2"/>
  <c r="I74" i="2"/>
  <c r="I73" i="2"/>
  <c r="I72" i="2" s="1"/>
  <c r="I64" i="2"/>
  <c r="I66" i="2"/>
  <c r="I67" i="2"/>
  <c r="I68" i="2"/>
  <c r="I65" i="2"/>
  <c r="I38" i="2"/>
  <c r="I40" i="2"/>
  <c r="I41" i="2"/>
  <c r="I42" i="2"/>
  <c r="I43" i="2"/>
  <c r="I44" i="2"/>
  <c r="I39" i="2"/>
  <c r="I28" i="2"/>
  <c r="I30" i="2"/>
  <c r="I31" i="2"/>
  <c r="I32" i="2"/>
  <c r="I33" i="2"/>
  <c r="I34" i="2"/>
  <c r="I29" i="2"/>
  <c r="I24" i="2"/>
  <c r="I23" i="2"/>
  <c r="I11" i="2"/>
  <c r="I13" i="2"/>
  <c r="I14" i="2"/>
  <c r="I15" i="2"/>
  <c r="I16" i="2"/>
  <c r="I17" i="2"/>
  <c r="I12" i="2"/>
  <c r="D23" i="6"/>
  <c r="D19" i="6"/>
  <c r="D12" i="6"/>
  <c r="D8" i="6"/>
  <c r="D26" i="6" s="1"/>
  <c r="F5" i="5"/>
  <c r="G5" i="5" s="1"/>
  <c r="G4" i="5" s="1"/>
  <c r="G196" i="5" s="1"/>
  <c r="D26" i="4"/>
  <c r="D23" i="4"/>
  <c r="D19" i="4"/>
  <c r="D12" i="4"/>
  <c r="D8" i="4"/>
  <c r="M48" i="3"/>
  <c r="B48" i="3"/>
  <c r="A48" i="3"/>
  <c r="M47" i="3"/>
  <c r="B47" i="3"/>
  <c r="A47" i="3"/>
  <c r="M46" i="3"/>
  <c r="B46" i="3"/>
  <c r="A46" i="3"/>
  <c r="M45" i="3"/>
  <c r="B45" i="3"/>
  <c r="A45" i="3"/>
  <c r="M44" i="3"/>
  <c r="B44" i="3"/>
  <c r="A44" i="3"/>
  <c r="M43" i="3"/>
  <c r="B43" i="3"/>
  <c r="A43" i="3"/>
  <c r="M42" i="3"/>
  <c r="B42" i="3"/>
  <c r="A42" i="3"/>
  <c r="M41" i="3"/>
  <c r="B41" i="3"/>
  <c r="A41" i="3"/>
  <c r="M40" i="3"/>
  <c r="B40" i="3"/>
  <c r="A40" i="3"/>
  <c r="M39" i="3"/>
  <c r="B39" i="3"/>
  <c r="A39" i="3"/>
  <c r="M38" i="3"/>
  <c r="B38" i="3"/>
  <c r="A38" i="3"/>
  <c r="M37" i="3"/>
  <c r="B37" i="3"/>
  <c r="A37" i="3"/>
  <c r="M36" i="3"/>
  <c r="B36" i="3"/>
  <c r="A36" i="3"/>
  <c r="M35" i="3"/>
  <c r="B35" i="3"/>
  <c r="A35" i="3"/>
  <c r="M34" i="3"/>
  <c r="B34" i="3"/>
  <c r="A34" i="3"/>
  <c r="M33" i="3"/>
  <c r="B33" i="3"/>
  <c r="A33" i="3"/>
  <c r="M32" i="3"/>
  <c r="B32" i="3"/>
  <c r="A32" i="3"/>
  <c r="M31" i="3"/>
  <c r="B31" i="3"/>
  <c r="A31" i="3"/>
  <c r="M30" i="3"/>
  <c r="B30" i="3"/>
  <c r="A30" i="3"/>
  <c r="M29" i="3"/>
  <c r="B29" i="3"/>
  <c r="A29" i="3"/>
  <c r="M28" i="3"/>
  <c r="B28" i="3"/>
  <c r="A28" i="3"/>
  <c r="M27" i="3"/>
  <c r="B27" i="3"/>
  <c r="A27" i="3"/>
  <c r="M26" i="3"/>
  <c r="B26" i="3"/>
  <c r="A26" i="3"/>
  <c r="M25" i="3"/>
  <c r="B25" i="3"/>
  <c r="A25" i="3"/>
  <c r="M24" i="3"/>
  <c r="B24" i="3"/>
  <c r="A24" i="3"/>
  <c r="M23" i="3"/>
  <c r="B23" i="3"/>
  <c r="A23" i="3"/>
  <c r="M22" i="3"/>
  <c r="B22" i="3"/>
  <c r="A22" i="3"/>
  <c r="M21" i="3"/>
  <c r="B21" i="3"/>
  <c r="A21" i="3"/>
  <c r="M20" i="3"/>
  <c r="B20" i="3"/>
  <c r="A20" i="3"/>
  <c r="M19" i="3"/>
  <c r="B19" i="3"/>
  <c r="A19" i="3"/>
  <c r="M18" i="3"/>
  <c r="B18" i="3"/>
  <c r="A18" i="3"/>
  <c r="M17" i="3"/>
  <c r="B17" i="3"/>
  <c r="A17" i="3"/>
  <c r="M16" i="3"/>
  <c r="B16" i="3"/>
  <c r="A16" i="3"/>
  <c r="M15" i="3"/>
  <c r="B15" i="3"/>
  <c r="A15" i="3"/>
  <c r="M14" i="3"/>
  <c r="B14" i="3"/>
  <c r="A14" i="3"/>
  <c r="M13" i="3"/>
  <c r="B13" i="3"/>
  <c r="A13" i="3"/>
  <c r="M12" i="3"/>
  <c r="B12" i="3"/>
  <c r="A12" i="3"/>
  <c r="M11" i="3"/>
  <c r="B11" i="3"/>
  <c r="A11" i="3"/>
  <c r="M10" i="3"/>
  <c r="B10" i="3"/>
  <c r="A10" i="3"/>
  <c r="M9" i="3"/>
  <c r="B9" i="3"/>
  <c r="A9" i="3"/>
  <c r="M8" i="3"/>
  <c r="B8" i="3"/>
  <c r="A8" i="3"/>
  <c r="M7" i="3"/>
  <c r="B7" i="3"/>
  <c r="A7" i="3"/>
  <c r="M6" i="3"/>
  <c r="B6" i="3"/>
  <c r="A6" i="3"/>
  <c r="M5" i="3"/>
  <c r="B5" i="3"/>
  <c r="A5" i="3"/>
  <c r="G221" i="1"/>
  <c r="G220" i="1"/>
  <c r="G219" i="1"/>
  <c r="G218" i="1"/>
  <c r="G217" i="1"/>
  <c r="G216" i="1"/>
  <c r="G222" i="1" s="1"/>
  <c r="E212" i="1"/>
  <c r="G212" i="1" s="1"/>
  <c r="G211" i="1"/>
  <c r="G210" i="1"/>
  <c r="E210" i="1"/>
  <c r="G209" i="1"/>
  <c r="E209" i="1"/>
  <c r="E208" i="1"/>
  <c r="G208" i="1" s="1"/>
  <c r="G207" i="1"/>
  <c r="E207" i="1"/>
  <c r="G206" i="1"/>
  <c r="E206" i="1"/>
  <c r="E205" i="1"/>
  <c r="G205" i="1" s="1"/>
  <c r="E202" i="1"/>
  <c r="G202" i="1" s="1"/>
  <c r="E201" i="1"/>
  <c r="G201" i="1" s="1"/>
  <c r="G200" i="1" s="1"/>
  <c r="G199" i="1"/>
  <c r="G198" i="1" s="1"/>
  <c r="D45" i="3" s="1"/>
  <c r="E199" i="1"/>
  <c r="G196" i="1"/>
  <c r="E196" i="1"/>
  <c r="E197" i="1" s="1"/>
  <c r="G197" i="1" s="1"/>
  <c r="E193" i="1"/>
  <c r="E194" i="1" s="1"/>
  <c r="G194" i="1" s="1"/>
  <c r="E191" i="1"/>
  <c r="G191" i="1" s="1"/>
  <c r="G189" i="1"/>
  <c r="E189" i="1"/>
  <c r="E190" i="1" s="1"/>
  <c r="G190" i="1" s="1"/>
  <c r="G187" i="1"/>
  <c r="G186" i="1" s="1"/>
  <c r="D41" i="3" s="1"/>
  <c r="E187" i="1"/>
  <c r="G180" i="1"/>
  <c r="E180" i="1"/>
  <c r="E181" i="1" s="1"/>
  <c r="G181" i="1" s="1"/>
  <c r="G175" i="1"/>
  <c r="E175" i="1"/>
  <c r="E174" i="1"/>
  <c r="E176" i="1" s="1"/>
  <c r="G176" i="1" s="1"/>
  <c r="E172" i="1"/>
  <c r="G172" i="1" s="1"/>
  <c r="G171" i="1"/>
  <c r="E171" i="1"/>
  <c r="G170" i="1"/>
  <c r="E170" i="1"/>
  <c r="E169" i="1"/>
  <c r="G169" i="1" s="1"/>
  <c r="G168" i="1"/>
  <c r="E168" i="1"/>
  <c r="G167" i="1"/>
  <c r="E167" i="1"/>
  <c r="E166" i="1"/>
  <c r="G166" i="1" s="1"/>
  <c r="G165" i="1"/>
  <c r="E165" i="1"/>
  <c r="E163" i="1"/>
  <c r="E164" i="1" s="1"/>
  <c r="G164" i="1" s="1"/>
  <c r="G157" i="1"/>
  <c r="E156" i="1"/>
  <c r="G156" i="1" s="1"/>
  <c r="G155" i="1"/>
  <c r="G154" i="1"/>
  <c r="E154" i="1"/>
  <c r="G150" i="1"/>
  <c r="G149" i="1"/>
  <c r="G148" i="1"/>
  <c r="G147" i="1"/>
  <c r="G146" i="1"/>
  <c r="G145" i="1"/>
  <c r="G144" i="1"/>
  <c r="G143" i="1"/>
  <c r="G142" i="1"/>
  <c r="G141" i="1"/>
  <c r="G140" i="1"/>
  <c r="G139" i="1"/>
  <c r="G138" i="1"/>
  <c r="G137" i="1"/>
  <c r="G136" i="1"/>
  <c r="G135" i="1"/>
  <c r="G151" i="1" s="1"/>
  <c r="D31" i="3" s="1"/>
  <c r="G134" i="1"/>
  <c r="G130" i="1"/>
  <c r="E129" i="1"/>
  <c r="G129" i="1" s="1"/>
  <c r="G128" i="1"/>
  <c r="G127" i="1"/>
  <c r="G126" i="1"/>
  <c r="G125" i="1"/>
  <c r="G124" i="1"/>
  <c r="G123" i="1"/>
  <c r="G122" i="1"/>
  <c r="G121" i="1" s="1"/>
  <c r="G120" i="1"/>
  <c r="G119" i="1"/>
  <c r="G118" i="1"/>
  <c r="G117" i="1"/>
  <c r="G116" i="1"/>
  <c r="G115" i="1"/>
  <c r="G114" i="1"/>
  <c r="G113" i="1"/>
  <c r="G112" i="1"/>
  <c r="G111" i="1"/>
  <c r="G110" i="1"/>
  <c r="G109" i="1"/>
  <c r="G108" i="1"/>
  <c r="G107" i="1"/>
  <c r="G106" i="1"/>
  <c r="G105" i="1"/>
  <c r="G104" i="1"/>
  <c r="G103" i="1"/>
  <c r="G102" i="1"/>
  <c r="G101" i="1"/>
  <c r="G100" i="1"/>
  <c r="G99" i="1"/>
  <c r="G93" i="1" s="1"/>
  <c r="D29" i="3" s="1"/>
  <c r="G98" i="1"/>
  <c r="G97" i="1"/>
  <c r="G96" i="1"/>
  <c r="G95" i="1"/>
  <c r="G94" i="1"/>
  <c r="G90" i="1"/>
  <c r="D27" i="3" s="1"/>
  <c r="G89" i="1"/>
  <c r="G88" i="1"/>
  <c r="G84" i="1"/>
  <c r="G83" i="1"/>
  <c r="G85" i="1" s="1"/>
  <c r="D26" i="3" s="1"/>
  <c r="E83" i="1"/>
  <c r="G82" i="1"/>
  <c r="G78" i="1"/>
  <c r="E77" i="1"/>
  <c r="G77" i="1" s="1"/>
  <c r="G76" i="1" s="1"/>
  <c r="E75" i="1"/>
  <c r="G75" i="1" s="1"/>
  <c r="G74" i="1"/>
  <c r="G73" i="1"/>
  <c r="G72" i="1"/>
  <c r="E72" i="1"/>
  <c r="G70" i="1"/>
  <c r="E70" i="1"/>
  <c r="G69" i="1"/>
  <c r="G68" i="1"/>
  <c r="G67" i="1" s="1"/>
  <c r="D23" i="3" s="1"/>
  <c r="E68" i="1"/>
  <c r="G66" i="1"/>
  <c r="E66" i="1"/>
  <c r="G65" i="1"/>
  <c r="D22" i="3" s="1"/>
  <c r="G64" i="1"/>
  <c r="E64" i="1"/>
  <c r="E63" i="1"/>
  <c r="G63" i="1" s="1"/>
  <c r="G61" i="1"/>
  <c r="E61" i="1"/>
  <c r="E62" i="1" s="1"/>
  <c r="G62" i="1" s="1"/>
  <c r="G59" i="1"/>
  <c r="E59" i="1"/>
  <c r="E55" i="1"/>
  <c r="G55" i="1" s="1"/>
  <c r="G54" i="1" s="1"/>
  <c r="D19" i="3" s="1"/>
  <c r="G50" i="1"/>
  <c r="G49" i="1"/>
  <c r="E49" i="1"/>
  <c r="G48" i="1"/>
  <c r="G47" i="1"/>
  <c r="D17" i="3" s="1"/>
  <c r="G43" i="1"/>
  <c r="E43" i="1"/>
  <c r="E46" i="1" s="1"/>
  <c r="G41" i="1"/>
  <c r="E41" i="1"/>
  <c r="G40" i="1"/>
  <c r="D14" i="3" s="1"/>
  <c r="G36" i="1"/>
  <c r="G34" i="1" s="1"/>
  <c r="D12" i="3" s="1"/>
  <c r="E36" i="1"/>
  <c r="G35" i="1"/>
  <c r="E35" i="1"/>
  <c r="G33" i="1"/>
  <c r="G31" i="1"/>
  <c r="E31" i="1"/>
  <c r="E32" i="1" s="1"/>
  <c r="G32" i="1" s="1"/>
  <c r="G30" i="1" s="1"/>
  <c r="D11" i="3" s="1"/>
  <c r="G29" i="1"/>
  <c r="G28" i="1"/>
  <c r="E27" i="1"/>
  <c r="G27" i="1" s="1"/>
  <c r="G26" i="1"/>
  <c r="G25" i="1"/>
  <c r="G24" i="1"/>
  <c r="G23" i="1"/>
  <c r="G22" i="1"/>
  <c r="G21" i="1"/>
  <c r="G15" i="1"/>
  <c r="E15" i="1"/>
  <c r="E14" i="1"/>
  <c r="G14" i="1" s="1"/>
  <c r="G16" i="1" s="1"/>
  <c r="D7" i="3" s="1"/>
  <c r="G13" i="1"/>
  <c r="G9" i="1"/>
  <c r="G10" i="1" s="1"/>
  <c r="I1297" i="2" l="1"/>
  <c r="I1279" i="2"/>
  <c r="I1228" i="2"/>
  <c r="I1082" i="2"/>
  <c r="I1071" i="2"/>
  <c r="I985" i="2"/>
  <c r="I926" i="2"/>
  <c r="I546" i="2"/>
  <c r="I532" i="2"/>
  <c r="I482" i="2"/>
  <c r="I383" i="2"/>
  <c r="I360" i="2"/>
  <c r="I344" i="2"/>
  <c r="I210" i="2"/>
  <c r="I189" i="2"/>
  <c r="I102" i="2"/>
  <c r="I22" i="2"/>
  <c r="D25" i="3"/>
  <c r="G197" i="5"/>
  <c r="G198" i="5"/>
  <c r="D6" i="3"/>
  <c r="E44" i="1"/>
  <c r="G44" i="1" s="1"/>
  <c r="G42" i="1" s="1"/>
  <c r="G46" i="1"/>
  <c r="G45" i="1" s="1"/>
  <c r="D16" i="3" s="1"/>
  <c r="G71" i="1"/>
  <c r="D24" i="3" s="1"/>
  <c r="J27" i="3"/>
  <c r="J29" i="3"/>
  <c r="D28" i="3"/>
  <c r="G213" i="1"/>
  <c r="D47" i="3" s="1"/>
  <c r="D48" i="3"/>
  <c r="D46" i="3"/>
  <c r="G179" i="1"/>
  <c r="H19" i="3"/>
  <c r="H23" i="3"/>
  <c r="G158" i="1"/>
  <c r="D32" i="3" s="1"/>
  <c r="J41" i="3"/>
  <c r="G195" i="1"/>
  <c r="D44" i="3" s="1"/>
  <c r="D30" i="3"/>
  <c r="G131" i="1"/>
  <c r="G20" i="1"/>
  <c r="F7" i="3"/>
  <c r="F11" i="3"/>
  <c r="F12" i="3"/>
  <c r="F17" i="3"/>
  <c r="L26" i="3"/>
  <c r="J31" i="3"/>
  <c r="G60" i="1"/>
  <c r="D21" i="3" s="1"/>
  <c r="F14" i="3"/>
  <c r="H22" i="3"/>
  <c r="G188" i="1"/>
  <c r="D42" i="3" s="1"/>
  <c r="L45" i="3"/>
  <c r="E57" i="1"/>
  <c r="G174" i="1"/>
  <c r="G173" i="1" s="1"/>
  <c r="D36" i="3" s="1"/>
  <c r="E183" i="1"/>
  <c r="G183" i="1" s="1"/>
  <c r="G182" i="1" s="1"/>
  <c r="D39" i="3" s="1"/>
  <c r="G163" i="1"/>
  <c r="G162" i="1" s="1"/>
  <c r="G193" i="1"/>
  <c r="G192" i="1" s="1"/>
  <c r="D43" i="3" s="1"/>
  <c r="D40" i="3" s="1"/>
  <c r="D15" i="3" l="1"/>
  <c r="G51" i="1"/>
  <c r="H21" i="3"/>
  <c r="H6" i="3"/>
  <c r="F6" i="3"/>
  <c r="L6" i="3"/>
  <c r="J6" i="3"/>
  <c r="L43" i="3"/>
  <c r="L44" i="3"/>
  <c r="L25" i="3"/>
  <c r="J25" i="3"/>
  <c r="L46" i="3"/>
  <c r="J39" i="3"/>
  <c r="D10" i="3"/>
  <c r="G37" i="1"/>
  <c r="L48" i="3"/>
  <c r="G203" i="1"/>
  <c r="J42" i="3"/>
  <c r="L32" i="3"/>
  <c r="L47" i="3"/>
  <c r="J24" i="3"/>
  <c r="H24" i="3"/>
  <c r="D35" i="3"/>
  <c r="G177" i="1"/>
  <c r="J36" i="3"/>
  <c r="G57" i="1"/>
  <c r="E58" i="1"/>
  <c r="G58" i="1" s="1"/>
  <c r="J30" i="3"/>
  <c r="G184" i="1"/>
  <c r="D38" i="3"/>
  <c r="F16" i="3"/>
  <c r="F10" i="3" l="1"/>
  <c r="D9" i="3"/>
  <c r="G56" i="1"/>
  <c r="J38" i="3"/>
  <c r="D37" i="3"/>
  <c r="J35" i="3"/>
  <c r="J50" i="3" s="1"/>
  <c r="D34" i="3"/>
  <c r="F15" i="3"/>
  <c r="D13" i="3"/>
  <c r="D33" i="3" l="1"/>
  <c r="D20" i="3"/>
  <c r="G79" i="1"/>
  <c r="H20" i="3" l="1"/>
  <c r="H50" i="3" s="1"/>
  <c r="D18" i="3"/>
  <c r="F5" i="1"/>
  <c r="G5" i="1" s="1"/>
  <c r="G6" i="1" s="1"/>
  <c r="D5" i="3" s="1"/>
  <c r="L5" i="3" l="1"/>
  <c r="L50" i="3" s="1"/>
  <c r="F5" i="3"/>
  <c r="F50" i="3" s="1"/>
  <c r="D50" i="3"/>
  <c r="C5" i="3" s="1"/>
  <c r="G224" i="1"/>
  <c r="D8" i="3"/>
  <c r="H51" i="3" l="1"/>
  <c r="C29" i="3"/>
  <c r="C23" i="3"/>
  <c r="C11" i="3"/>
  <c r="C26" i="3"/>
  <c r="C14" i="3"/>
  <c r="C22" i="3"/>
  <c r="C7" i="3"/>
  <c r="C41" i="3"/>
  <c r="C12" i="3"/>
  <c r="C31" i="3"/>
  <c r="C17" i="3"/>
  <c r="C45" i="3"/>
  <c r="C27" i="3"/>
  <c r="C19" i="3"/>
  <c r="C46" i="3"/>
  <c r="C48" i="3"/>
  <c r="C32" i="3"/>
  <c r="C44" i="3"/>
  <c r="C47" i="3"/>
  <c r="C30" i="3"/>
  <c r="C21" i="3"/>
  <c r="C40" i="3"/>
  <c r="C6" i="3"/>
  <c r="D51" i="3" s="1"/>
  <c r="C39" i="3"/>
  <c r="C43" i="3"/>
  <c r="C28" i="3"/>
  <c r="C42" i="3"/>
  <c r="C36" i="3"/>
  <c r="C16" i="3"/>
  <c r="C25" i="3"/>
  <c r="C24" i="3"/>
  <c r="C38" i="3"/>
  <c r="C10" i="3"/>
  <c r="C15" i="3"/>
  <c r="C35" i="3"/>
  <c r="J51" i="3"/>
  <c r="C37" i="3"/>
  <c r="C9" i="3"/>
  <c r="C34" i="3"/>
  <c r="C13" i="3"/>
  <c r="C20" i="3"/>
  <c r="C33" i="3"/>
  <c r="G225" i="1"/>
  <c r="G226" i="1" s="1"/>
  <c r="F51" i="3"/>
  <c r="F54" i="3" s="1"/>
  <c r="F53" i="3"/>
  <c r="H53" i="3" s="1"/>
  <c r="J53" i="3" s="1"/>
  <c r="L53" i="3" s="1"/>
  <c r="C8" i="3"/>
  <c r="C18" i="3"/>
  <c r="L51" i="3"/>
  <c r="H54" i="3" l="1"/>
  <c r="J54" i="3" s="1"/>
  <c r="L54" i="3" s="1"/>
</calcChain>
</file>

<file path=xl/sharedStrings.xml><?xml version="1.0" encoding="utf-8"?>
<sst xmlns="http://schemas.openxmlformats.org/spreadsheetml/2006/main" count="9525" uniqueCount="1947">
  <si>
    <t>OBRA</t>
  </si>
  <si>
    <t>BANCO</t>
  </si>
  <si>
    <t>BDI</t>
  </si>
  <si>
    <r>
      <rPr>
        <b/>
        <sz val="13"/>
        <color rgb="FF000000"/>
        <rFont val="Calibri"/>
        <family val="2"/>
        <charset val="1"/>
      </rPr>
      <t xml:space="preserve">UNIVERSIDADE FEDERAL DOS VALES DO JEQUITINHONHA E MUCURI
CAMPUS PRESIDENTE JUSCELINO KUBITSCHEK - DIAMANTINA - MG
REFORMA E AMPLIAÇÃO DO ABRIGO DE RESÍDUOS DE SERVIÇOS DE SAÚDE (RSS)
PLANILHA ORÇAMENTÁRIA SINTÉTICA DE REFERÊNCIA - </t>
    </r>
    <r>
      <rPr>
        <b/>
        <sz val="13"/>
        <color rgb="FFFF0000"/>
        <rFont val="Calibri"/>
        <family val="2"/>
        <charset val="1"/>
      </rPr>
      <t>NÃO DESONERADA</t>
    </r>
  </si>
  <si>
    <t>SINAPI - 02/2022 - Minas Gerais                                SETOP - 01/2022 - Minas Gerais</t>
  </si>
  <si>
    <t>ITEM</t>
  </si>
  <si>
    <t>CÓDIGO</t>
  </si>
  <si>
    <t>DESCRIÇÃO</t>
  </si>
  <si>
    <t>UN</t>
  </si>
  <si>
    <t>QTDE</t>
  </si>
  <si>
    <t>P. TOTAL UNITÁRIO</t>
  </si>
  <si>
    <t>PREÇO TOTAL</t>
  </si>
  <si>
    <t>MOBILIZAÇÃO E DESMOBILIZAÇÃO DE OBRA</t>
  </si>
  <si>
    <t>1.1</t>
  </si>
  <si>
    <t>MOB-DES-020</t>
  </si>
  <si>
    <t>OBRAS COM VALOR ATÉ 1.000.000,00</t>
  </si>
  <si>
    <t>%</t>
  </si>
  <si>
    <t>CUSTO TOTAL DO ITEM 01</t>
  </si>
  <si>
    <t>ADMINISTRAÇÃO LOCAL</t>
  </si>
  <si>
    <t>2.1</t>
  </si>
  <si>
    <t xml:space="preserve">ENCARREGADO GERAL DE OBRAS COM ENCARGOS COMPLEMENTARES </t>
  </si>
  <si>
    <t>MÊS</t>
  </si>
  <si>
    <t>CUSTO TOTAL DO ITEM 02</t>
  </si>
  <si>
    <t>CANTEIRO DE OBRAS</t>
  </si>
  <si>
    <t>3.1</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</si>
  <si>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</si>
  <si>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</si>
  <si>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</si>
  <si>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3.2</t>
  </si>
  <si>
    <t>IIO-TAP-026</t>
  </si>
  <si>
    <t>TAPUME COM TELA DE POLIETILENO</t>
  </si>
  <si>
    <t>M</t>
  </si>
  <si>
    <t>3.3</t>
  </si>
  <si>
    <t>LOC-OBR-005</t>
  </si>
  <si>
    <t>LOCAÇÃO DA OBRA (GABARITO)</t>
  </si>
  <si>
    <t>CUSTO TOTAL DO ITEM 03</t>
  </si>
  <si>
    <t>ABRIGO EXTERNO DE RESÍDUOS</t>
  </si>
  <si>
    <t>4.1</t>
  </si>
  <si>
    <t>INFRAESTRUTURA</t>
  </si>
  <si>
    <t>4.1.1</t>
  </si>
  <si>
    <t>BLOCOS E VIGAS BALDRAMES</t>
  </si>
  <si>
    <t>4.1.1.1</t>
  </si>
  <si>
    <t>DEMOLIÇÃO DE PISO, DE FORMA MECANIZADA COM MARTELETE, SEM REAPROVEITAMENTO</t>
  </si>
  <si>
    <t>M3</t>
  </si>
  <si>
    <t>4.1.1.2</t>
  </si>
  <si>
    <t>ESCAVAÇÃO MANUAL DE VALAS (BLOCOS E VIGAS BALDRAMES)</t>
  </si>
  <si>
    <t>4.1.1.3</t>
  </si>
  <si>
    <t>REATERRO MANUAL DE VALAS COM COMPACTAÇÃO MECANIZADA.</t>
  </si>
  <si>
    <t>4.1.1.4</t>
  </si>
  <si>
    <t>TER-REG-010</t>
  </si>
  <si>
    <t>REGULARIZAÇÃO E COMPACTAÇÃO DE TERRENO COM PLACA VIBRATÓRIA (VIGAS BALDRAMES, SAPATAS E PISO)</t>
  </si>
  <si>
    <t>4.1.1.5</t>
  </si>
  <si>
    <t>CONCRETAGEM DE BLOCOS DE COROAMENTO E VIGAS BALDRAMES, FCK 30 MPA, COM USO DE BOMBA  LANÇAMENTO, ADENSAMENTO E ACABAMENTO.</t>
  </si>
  <si>
    <t>4.1.1.6</t>
  </si>
  <si>
    <t>EST-FOR-005</t>
  </si>
  <si>
    <t>FORMA E DESFORMA DE TÁBUA E SARRAFO, REAPROVEITAMENTO (3X) - (BLOCOS, VIGAS BALDRAMES E PISO)</t>
  </si>
  <si>
    <t>4.1.1.7</t>
  </si>
  <si>
    <t>IMPERMEABILIZAÇÃO DE SUPERFÍCIE COM EMULSÃO ASFÁLTICA, 2 DEMÃOS</t>
  </si>
  <si>
    <t>4.1.1.8</t>
  </si>
  <si>
    <t xml:space="preserve">ARMAÇÃO DE BLOCO, VIGA BALDRAME E SAPATA UTILIZANDO AÇO CA-60 DE 4,2 E 5 MM - MONTAGEM. </t>
  </si>
  <si>
    <t>KG</t>
  </si>
  <si>
    <t>4.1.1.9</t>
  </si>
  <si>
    <t>ARMAÇÃO DE BLOCO, VIGA BALDRAME OU SAPATA UTILIZANDO AÇO CA-50 DE 8 MM - MONTAGEM.</t>
  </si>
  <si>
    <t>4.1.2</t>
  </si>
  <si>
    <t>LAJE PISO</t>
  </si>
  <si>
    <t>4.1.2.1</t>
  </si>
  <si>
    <t>PIS-LON-005</t>
  </si>
  <si>
    <t>APLICAÇÃO DE LONA PRETA, ESP. 150 MICRAS, INCLUSIVE FORNECIMENTO</t>
  </si>
  <si>
    <t>4.1.2.2</t>
  </si>
  <si>
    <t>ARMAÇÃO PARA EXECUÇÃO DE RADIER, PISO DE CONCRETO OU LAJE SOBRE SOLO, COM USO DE TELA Q-196</t>
  </si>
  <si>
    <t>4.1.2.3</t>
  </si>
  <si>
    <t>CONCRETAGEM DE RADIER, PISO DE CONCRETO OU LAJE SOBRE SOLO, FCK 30 MPA - LANÇAMENTO, ADENSAMENTO E ACABAMENTO (ESP. = 10 CM)</t>
  </si>
  <si>
    <t>4.1.3</t>
  </si>
  <si>
    <t>ESTRUTURA METÁLICA</t>
  </si>
  <si>
    <t>4.1.3.1</t>
  </si>
  <si>
    <t>COMP-ABRIGO-03</t>
  </si>
  <si>
    <t>PILAR METÁLICO PERFIL UDC ("U" DOBRADO DE CHAPA) SIMPLES DE ACO LAMINADO, GALVANIZADO, ASTM A36, 127 X 50 MM, E= 3 MM - CHAPA DUPLA, INCLUSO 1 (UMA) DEMÃO DE ZARCÃO E 2 (DUAS) DEMÃOS DE PINTURA</t>
  </si>
  <si>
    <t>4.1.3.2</t>
  </si>
  <si>
    <t>VIGA METÁLICA PERFIL UDC ("U" DOBRADO DE CHAPA) SIMPLES DE ACO LAMINADO, GALVANIZADO, ASTM A36, 127 X 50 MM, E= 3 MM - CHAPA DUPLA, INCLUSO 1 (UMA) DEMÃO DE ZARCÃO E 2 (DUAS) DEMÃOS DE PINTURA</t>
  </si>
  <si>
    <t>CUSTO TOTAL DO ITEM 4.1</t>
  </si>
  <si>
    <t>4.2</t>
  </si>
  <si>
    <t>COBERTURA</t>
  </si>
  <si>
    <t>4.2.1</t>
  </si>
  <si>
    <t>RETIRADA DE TELHAS</t>
  </si>
  <si>
    <t>4.2.1.1</t>
  </si>
  <si>
    <t>REMOÇÃO DE TELHAS, DE FIBROCIMENTO, METÁLICA E CERÂMICA, DE FORMA MANUAL, SEM REAPROVEITAMENTO</t>
  </si>
  <si>
    <t>4.2.2</t>
  </si>
  <si>
    <t>ESTRUTURA METÁLICA DO TELHADO</t>
  </si>
  <si>
    <t>4.2.2.1</t>
  </si>
  <si>
    <t>TRAMA DE AÇO COMPOSTA POR TERÇAS PARA TELHADOS DE ATÉ 2 ÁGUAS PARA TELHA METÁLICA, INCLUSO TRANSPORTE VERTICAL</t>
  </si>
  <si>
    <t>4.2.2.2</t>
  </si>
  <si>
    <t>PIN-ESM-035</t>
  </si>
  <si>
    <t>PINTURA ESMALTE EM ESTRUTURA METÁLICA, DUAS (2) DEMÃOS, INCLUSIVE UMA (1) DEMÃO FUNDO ANTICORROSIVO</t>
  </si>
  <si>
    <t>4.2.3</t>
  </si>
  <si>
    <t>TELHAMENTO EM TELHA METÁLICA</t>
  </si>
  <si>
    <t>4.2.3.1</t>
  </si>
  <si>
    <t>COB-TEL-045</t>
  </si>
  <si>
    <t>COBERTURA EM TELHA METÁLICA GALVANIZADA TRAPEZOIDAL, TIPO SIMPLES, ESP. 0,50MM, ACABAMENTO NATURAL, INCLUSIVE ACESSÓRIOS PARA FIXAÇÃO, FORNECIMENTO E INSTALAÇÃO</t>
  </si>
  <si>
    <t>4.2.4</t>
  </si>
  <si>
    <t>INSTALAÇÃO DE CALHAS / CUMEEIRAS / DESCIDAS D'ÁGUA</t>
  </si>
  <si>
    <t>4.2.4.1</t>
  </si>
  <si>
    <t>COB-CUM-015</t>
  </si>
  <si>
    <t>CUMEEIRA GALVANIZADA TRAPEZOIDAL E = 0,50 MM, SIMPLES</t>
  </si>
  <si>
    <t>4.2.4.2</t>
  </si>
  <si>
    <t>CALHA EM CHAPA DE AÇO GALVANIZADO NÚMERO 24, DESENVOLVIMENTO DE 50 CM, INCLUSO TRANSPORTE VERTICAL.</t>
  </si>
  <si>
    <t>4.2.4.3</t>
  </si>
  <si>
    <t>INSTALAÇÃO DE TUBOS DE PVC, SÉRIE R, ÁGUA PLUVIAL, DN 75 MM (INSTALADO EM RAMAL DE ENCAMINHAMENTO, OU CONDUTORES VERTICAIS), INCLUSIVE CONEXÕES, CORTE E FIXAÇÕES, PARA PRÉDIOS</t>
  </si>
  <si>
    <t>CUSTO TOTAL DO ITEM 4.2</t>
  </si>
  <si>
    <t>4.3</t>
  </si>
  <si>
    <t>ARQUITETURA</t>
  </si>
  <si>
    <t>4.3.1</t>
  </si>
  <si>
    <t>EXECUÇÃO DE ALVENARIA</t>
  </si>
  <si>
    <t>4.3.1.1</t>
  </si>
  <si>
    <t>ALVENARIA DE VEDAÇÃO DE BLOCOS CERÂMICOS FURADOS NA VERTICAL DE 9X19X39 CM (ESPESSURA 9 CM) E ARGAMASSA DE ASSENTAMENTO COM PREPARO EM BETONEIRA</t>
  </si>
  <si>
    <t>4.3.2</t>
  </si>
  <si>
    <t>EXECUÇÃO DE REVESTIMENTO</t>
  </si>
  <si>
    <t>4.3.2.1</t>
  </si>
  <si>
    <t>CHAPISCO APLICADO EM ALVENARIAS E ESTRUTURAS DE CONCRETO INTERNAS</t>
  </si>
  <si>
    <t>4.3.2.2</t>
  </si>
  <si>
    <t>EMBOÇO OU MASSA ÚNICA EM ARGAMASSA TRAÇO 1:2:8, PREPARO MANUAL, ESPESSURA DE 25 MM.</t>
  </si>
  <si>
    <t>4.3.2.3</t>
  </si>
  <si>
    <t>REV-AZU-011</t>
  </si>
  <si>
    <t>REVESTIMENTO COM AZULEJO BRANCO (20X20CM), JUNTA A PRUMO, ASSENTAMENTO COM ARGAMASSA INDUSTRIALIZADA, INCLUSIVE REJUNTAMENTO</t>
  </si>
  <si>
    <t>4.3.3</t>
  </si>
  <si>
    <t>PINTURA INTERNA PAREDES, BANCADA CONCRETO E PORTAS</t>
  </si>
  <si>
    <t>4.3.3.1</t>
  </si>
  <si>
    <t>APLICAÇÃO DE FUNDO SELADOR ACRÍLICO EM PAREDES, UMA DEMÃO</t>
  </si>
  <si>
    <t>4.3.3.2</t>
  </si>
  <si>
    <t>APLICAÇÃO MANUAL DE PINTURA COM TINTA LÁTEX ACRÍLICA EM PAREDES, DUAS DEMÃOS</t>
  </si>
  <si>
    <t>4.3.3.3</t>
  </si>
  <si>
    <t>PINTURA COM TINTA ALQUÍDICA DE FUNDO (TIPO ZARCÃO) PULVERIZADA SOBRE PERFIL METÁLICO EXECUTADO EM FÁBRICA (POR DEMÃO) - (PILARES E PORTAS METÁLICAS)</t>
  </si>
  <si>
    <t>4.3.3.4</t>
  </si>
  <si>
    <t>PINTURA COM TINTA ALQUÍDICA DE ACABAMENTO (ESMALTE SINTÉTICO FOSCO) PULVERIZADA SOBRE SUPERFÍCIES METÁLICAS EXECUTADO EM OBRA (02 DEMÃOS) - (PILARES E PORTAS METÁLICAS)</t>
  </si>
  <si>
    <t>4.3.4</t>
  </si>
  <si>
    <t>PINTURA EXTERNA</t>
  </si>
  <si>
    <t>4.3.4.1</t>
  </si>
  <si>
    <t>APLICAÇÃO MANUAL DE PINTURA COM TINTA TEXTURIZADA ACRÍLICA EM PAREDES EXTERNAS.</t>
  </si>
  <si>
    <t>4.3.5</t>
  </si>
  <si>
    <t>PISO</t>
  </si>
  <si>
    <t>4.3.5.1</t>
  </si>
  <si>
    <t>REVESTIMENTO CERÂMICO PARA PISO COM PLACAS TIPO ESMALTADA EXTRA (ANTIDERRAPANTE) DE DIMENSÕES 45X45 CM</t>
  </si>
  <si>
    <t>4.3.5.2</t>
  </si>
  <si>
    <t xml:space="preserve">PISO CIMENTADO, TRAÇO 1:3 (CIMENTO E AREIA), ACABAMENTO LISO, ESPESSURA 3,0 CM, PREPARO MECÂNICO DA ARGAMASSA. </t>
  </si>
  <si>
    <t>4.3.5.3</t>
  </si>
  <si>
    <t>ROD-ARD-005</t>
  </si>
  <si>
    <t>RODAPÉ DE PEDRA ARDÓSIA H = 5 CM</t>
  </si>
  <si>
    <t>4.3.6</t>
  </si>
  <si>
    <t>ESQUADRIAS (INSTAÇÃO DE JANELAS, PORTAS METÁLICAS E ALAMBRADO)</t>
  </si>
  <si>
    <t>4.3.6.1</t>
  </si>
  <si>
    <t>SER-POR-050</t>
  </si>
  <si>
    <t>PORTÃO DE FERRO PADRÃO, EM CHAPA (TIPO LAMBRI), COLOCADO COM CADEADO (P02)</t>
  </si>
  <si>
    <t>4.3.6.2</t>
  </si>
  <si>
    <t>SEE-ALA-005</t>
  </si>
  <si>
    <t>ALAMBRADO H = 3,20 M, TELA GALVANIZADA FIO 12, # 7,5 CM, TUBO FERRO 50 MM, PAREDE CHAPA 13, FIXADO EM FUNDAÇÃO DE CONCRETO FCK = 20 MPA, COM PROF. = 50 CM E PINTURA, INCLUSO VIGA BALDRAME (ARMAÇÃO E CONCRETO)</t>
  </si>
  <si>
    <t>4.3.6.3</t>
  </si>
  <si>
    <t>SER-CAI-006</t>
  </si>
  <si>
    <t>FORNECIMENTO E ASSENTAMENTO DE CAIXILHO FIXO DE FERRO COM TELA CORRUGADA # 15 MM FIO 12</t>
  </si>
  <si>
    <t>4.3.6.4</t>
  </si>
  <si>
    <t>SER-POR-076</t>
  </si>
  <si>
    <t>PORTÃO EM TUBO GALVANIZADO 1 1/2" COM TELA FIO 12 # 1/2" E CADEADO (P1)</t>
  </si>
  <si>
    <t>4.3.7</t>
  </si>
  <si>
    <t>BANCADA</t>
  </si>
  <si>
    <t>4.3.7.1</t>
  </si>
  <si>
    <t>BAN-ARD-005</t>
  </si>
  <si>
    <t>BANCADA EM ARDÓSIA E = 3 CM, APOIADA EM ALVENARIA</t>
  </si>
  <si>
    <t>4.3.7.2</t>
  </si>
  <si>
    <t>SEE-EST-040</t>
  </si>
  <si>
    <t>LAJE 8 CM MACIÇA DE CONCRETO 20MPA, COM ARMAÇÃO, FORMA RESINADA. ESCORAMENTO E DESFORMA  (BANCADA DE CONCRETO)</t>
  </si>
  <si>
    <t>CUSTO TOTAL DO ITEM 4.3</t>
  </si>
  <si>
    <t>4.4</t>
  </si>
  <si>
    <t>PAISAGISMO</t>
  </si>
  <si>
    <t>4.4.1</t>
  </si>
  <si>
    <t>PLANTIO DE GRAMA EM PLACAS.</t>
  </si>
  <si>
    <t>4.4.2</t>
  </si>
  <si>
    <t>APLICAÇÃO DE ADUBO EM SOLO.</t>
  </si>
  <si>
    <t>4.4.3</t>
  </si>
  <si>
    <t>PLANTIO DE ÁRVORE ORNAMENTAL COM ALTURA DE MUDA MENOR OU IGUAL A 2,00 M.</t>
  </si>
  <si>
    <t>UNID</t>
  </si>
  <si>
    <t>CUSTO TOTAL DO ITEM 4.4</t>
  </si>
  <si>
    <t>4.5</t>
  </si>
  <si>
    <t>COMBATE A INCENDIO</t>
  </si>
  <si>
    <t>4.5.1</t>
  </si>
  <si>
    <t>INC-EXT-016</t>
  </si>
  <si>
    <t>EXTINTOR DE INCÊNDIO TIPO PÓ QUÍMICO 20-A:20-B:C, CAPACIDADE 6 KG, INCLUSO SUPORTE E FIXAÇÃO</t>
  </si>
  <si>
    <t>UND</t>
  </si>
  <si>
    <t>4.5.2</t>
  </si>
  <si>
    <t>INC-PLA-040</t>
  </si>
  <si>
    <t>PLACAS FOTOLUMINESCENTES DE SINALIZAÇÃO E ALERTA</t>
  </si>
  <si>
    <t>CUSTO TOTAL DO ITEM 4.5</t>
  </si>
  <si>
    <t>4.6</t>
  </si>
  <si>
    <t>INSTALAÇÕES HIDROSSANITÁRIAS</t>
  </si>
  <si>
    <t>4.6.1</t>
  </si>
  <si>
    <t>INSTALAÇÕES SANITÁRIAS, APARELHOS SANITÁRIOS E ACESSÓRIOS</t>
  </si>
  <si>
    <t>4.6.1.1</t>
  </si>
  <si>
    <t>LAVATÓRIO LOUÇA BRANCA SUSPENSO, 29,5 X 39CM OU EQUIVALENTE, INCLUSO SIFÃO TIPO GARRAFA EM PVC, VÁLVULA E ENGATE FLEXÍVEL 30CM EM PLÁSTICO E TORNEIRA CROMADA DE MESA - FORNECIMENTO E INSTALAÇÃO</t>
  </si>
  <si>
    <t>4.6.1.2</t>
  </si>
  <si>
    <t>TORNEIRA CROMADA 1/2 OU 3/4 PARA TANQUE - FORNECIMENTO E INSTALAÇÃO.</t>
  </si>
  <si>
    <t>4.6.1.3</t>
  </si>
  <si>
    <t>COMP-ABRIGO-01</t>
  </si>
  <si>
    <t>LAVA OLHOS DE EMERGÊNCIA C/ CUBA FLEXÍVEL E CHUVEIRO P/ LABORATÓRIO - FORNECIMENTO E INSTALAÇÃO</t>
  </si>
  <si>
    <t>4.6.1.4</t>
  </si>
  <si>
    <t>TUBO PVC, SERIE NORMAL, ESGOTO PREDIAL, DN 50 MM, FORNECIDO E INSTALADO EM RAMAL DE DESCARGA OU RAMAL DE ESGOTO SANITÁRIO.</t>
  </si>
  <si>
    <t>4.6.1.5</t>
  </si>
  <si>
    <t>TUBO PVC, SERIE NORMAL, ESGOTO PREDIAL, DN 40 MM, FORNECIDO E INSTALADO EM RAMAL DE DESCARGA OU RAMAL DE ESGOTO SANITÁRIO.</t>
  </si>
  <si>
    <t>4.6.1.6</t>
  </si>
  <si>
    <t>HID-CXS-110</t>
  </si>
  <si>
    <t>CAIXA DE CONTENÇÃO EM ALVENARIA (80X80X100CM), REVESTIMENTO EM ARGAMASSA COM ADITIVO IMPERMEABILIZANTE, COM TAMPA DE CONCRETO, INCLUSIVE ESCAVAÇÃO, REATERRO E TRANSPORTE E RETIRADA DO MATERIAL ESCAVADO</t>
  </si>
  <si>
    <t>4.6.1.7</t>
  </si>
  <si>
    <t>HID-RAL-011</t>
  </si>
  <si>
    <t>RALO SIFONADO PVC CILINDRÍCO 100 X 70 X 40 MM COM GRELHA REDONDA</t>
  </si>
  <si>
    <t>4.6.1.8</t>
  </si>
  <si>
    <t>HID-MIT-005</t>
  </si>
  <si>
    <t xml:space="preserve"> MITRA PVC RÍGIDO (TERMINAL DE VENTILAÇÃO TIPO) 75 MM</t>
  </si>
  <si>
    <t>4.6.1.9</t>
  </si>
  <si>
    <t>CAIXA SIFONADA, PVC, DN 100 X 100 X 50 MM, JUNTA ELÁSTICA, FORNECIDA E INSTALADA</t>
  </si>
  <si>
    <t>4.6.1.10</t>
  </si>
  <si>
    <t>GRELHA DE FERRO FUNDIDO SIMPLES COM REQUADRO, 150 X 1000 MM, ASSENTADA COM ARGAMASSA 1 : 3 CIMENTO: AREIA - FORNECIMENTO E INSTALAÇÃO</t>
  </si>
  <si>
    <t>4.6.1.11</t>
  </si>
  <si>
    <t>HID-CXS-085</t>
  </si>
  <si>
    <t>CAIXA DE ESGOTO DE INSPEÇÃO/PASSAGEM EM ALVENARIA (70X70X80CM), REVESTIMENTO EM ARGAMASSA COM ADITIVO IMPERMEABILIZANTE, COM TAMPA DE CONCRETO, INCLUSIVE ESCAVAÇÃO, REATERRO E TRANSPORTE E RETIRADA DO MATERIAL ESCAVADO</t>
  </si>
  <si>
    <t>4.6.1.12</t>
  </si>
  <si>
    <t>HID-CXS-020</t>
  </si>
  <si>
    <t>CAIXA DE REGISTRO EM ALVENARIA (40X40X40CM), REVESTIMENTO EM ARGAMASSA COM ADITIVO IMPERMEABILIZANTE, COM TAMPA DE CONCRETO, INCLUSIVE ESCAVAÇÃO, REATERRO E TRANSPORTE E RETIRADA DO MATERIAL ESCAVADO</t>
  </si>
  <si>
    <t>4.6.1.13</t>
  </si>
  <si>
    <t>ACE-SAB-025</t>
  </si>
  <si>
    <t>SABONETEIRA PLASTICA TIPO DISPENSER PARA SABONETE LIQUIDO COM RESERVATORIO 800 ML</t>
  </si>
  <si>
    <t>4.6.1.14</t>
  </si>
  <si>
    <t>ACE-PAP-025</t>
  </si>
  <si>
    <t>PAPELEIRA PLASTICA TIPO DISPENSER PARA PAPEL TOALHA</t>
  </si>
  <si>
    <t>4.6.1.15</t>
  </si>
  <si>
    <t>TE, PVC, SERIE NORMAL, DN 50 X 50 MM, JUNTA ELÁSTICA, FORNECIDO E INSTALADO</t>
  </si>
  <si>
    <t>4.6.1.16</t>
  </si>
  <si>
    <t>TE, PVC, SERIE NORMAL, DN 40 X 40 MM, JUNTA ELÁSTICA, FORNECIDO E INSTALADO</t>
  </si>
  <si>
    <t>4.6.1.17</t>
  </si>
  <si>
    <t>JOELHO 45 GRAUS, PVC, SERIE NORMAL, DN 40 MM, JUNTA SOLDÁVEL, FORNECIDO E INSTALADO</t>
  </si>
  <si>
    <t>4.6.1.18</t>
  </si>
  <si>
    <t>JOELHO 45 GRAUS, PVC, SERIE NORMAL, DN 50 MM, JUNTA ELÁSTICA, FORNECIDO E INSTALADO</t>
  </si>
  <si>
    <t>4.6.1.19</t>
  </si>
  <si>
    <t>JOELHO 90 GRAUS, PVC, SERIE NORMAL, DN 40 MM, JUNTA ELÁSTICA, FORNECIDO E INSTALADO</t>
  </si>
  <si>
    <t>4.6.1.20</t>
  </si>
  <si>
    <t>JOELHO 90 GRAUS, PVC, SERIE NORMAL, DN 50 MM, JUNTA ELÁSTICA, FORNECIDO E INSTALADO</t>
  </si>
  <si>
    <t>4.6.1.21</t>
  </si>
  <si>
    <t>JUNÇÃO SIMPLES, PVC, SERIE NORMAL, DN 50 X 50 MM, JUNTA ELÁSTICA, FORNECIDO E INSTALADO</t>
  </si>
  <si>
    <t>4.6.1.22</t>
  </si>
  <si>
    <t xml:space="preserve">LUVA SIMPLES, PVC, SERIE NORMAL, DN 40 MM, JUNTA SOLDÁVEL, FORNECIDO E INSTALADO </t>
  </si>
  <si>
    <t>4.6.1.23</t>
  </si>
  <si>
    <t xml:space="preserve">LUVA SIMPLES, PVC, SERIE NORMAL, DN 50 MM, JUNTA SOLDÁVEL, FORNECIDO E INSTALADO </t>
  </si>
  <si>
    <t>4.6.1.24</t>
  </si>
  <si>
    <t>REGISTRO DE ESFERA, PVC, SOLDÁVEL, DN 50 MM - FORNECIMENTO E INSTALAÇÃO.</t>
  </si>
  <si>
    <t>4.6.1.25</t>
  </si>
  <si>
    <t>TUBO PVC, SERIE NORMAL, ESGOTO PREDIAL, DN 75 MM, FORNECIDO E INSTALADO EM RAMAL DE DESCARGA OU RAMAL DE ESGOTO SANITÁRIO. AF_12/2014</t>
  </si>
  <si>
    <t>4.6.1.26</t>
  </si>
  <si>
    <t xml:space="preserve"> LUVA SIMPLES, PVC, SERIE NORMAL, ESGOTO PREDIAL, DN 75 MM, JUNTA ELÁSTICA, FORNECIDO E INSTALADO EM RAMAL DE DESCARGA OU RAMAL DE ESGOTO SANITÁRIO. AF_12/2014</t>
  </si>
  <si>
    <t>4.6.1.27</t>
  </si>
  <si>
    <t>JOELHO 45 GRAUS, PVC, SERIE NORMAL, ESGOTO PREDIAL, DN 75 MM, JUNTA ELÁSTICA, FORNECIDO E INSTALADO EM PRUMADA DE ESGOTO SANITÁRIO OU VENTILAÇÃO. AF_12/2014</t>
  </si>
  <si>
    <t>4.6.2</t>
  </si>
  <si>
    <t>INSTALAÇÕES HIDRÁULICAS</t>
  </si>
  <si>
    <t>4.6.2.1</t>
  </si>
  <si>
    <t>JOELHO 90 GRAUS COM BUCHA DE LATÃO, PVC, SOLDÁVEL, DN 25MM, X 1/2 INSTALADO EM RAMAL OU SUB-RAMAL DE ÁGUA - FORNECIMENTO E INSTALAÇÃO. AF_12/2014</t>
  </si>
  <si>
    <t>4.6.2.2</t>
  </si>
  <si>
    <t>REGISTRO DE GAVETA BRUTO, LATÃO, ROSCÁVEL, 3/4", COM ACABAMENTO E CANOPLA CROMADOS - FORNECIMENTO E INSTALAÇÃO. AF_08/2021</t>
  </si>
  <si>
    <t>4.6.2.3</t>
  </si>
  <si>
    <t>4.6.2.4</t>
  </si>
  <si>
    <t>JOELHO 90 GRAUS, PVC, SOLDÁVEL, DN 25MM, INSTALADO EM RAMAL OU SUB-RAMAL DE ÁGUA - FORNECIMENTO E INSTALAÇÃO. AF_12/2014</t>
  </si>
  <si>
    <t>4.6.2.5</t>
  </si>
  <si>
    <t>TE, PVC, SOLDÁVEL, DN 25MM, INSTALADO EM RAMAL OU SUB-RAMAL DE ÁGUA - FORNECIMENTO E INSTALAÇÃO. AF_12/201</t>
  </si>
  <si>
    <t>4.6.2.6</t>
  </si>
  <si>
    <t>TÊ COM BUCHA DE LATÃO NA BOLSA CENTRAL, PVC, SOLDÁVEL, DN 25MM X 1/2, INSTALADO EM RAMAL OU SUB-RAMAL DE ÁGUA - FORNECIMENTO E INSTALAÇÃO. AF_12/2014</t>
  </si>
  <si>
    <t>4.6.2.7</t>
  </si>
  <si>
    <t>ADAPTADOR CURTO COM BOLSA E ROSCA PARA REGISTRO, PVC, SOLDÁVEL, DN 25MM X 3/4, INSTALADO EM RAMAL OU SUB-RAMAL DE ÁGUA - FORNECIMENTO E INSTALAÇÃO. AF_12/2014</t>
  </si>
  <si>
    <t>4.6.2.8</t>
  </si>
  <si>
    <t>TUBO, PVC, SOLDÁVEL, DN 25MM, INSTALADO EM RAMAL OU SUB-RAMAL DE ÁGUA - FORNECIMENTO E INSTALAÇÃO. AF_12/2014</t>
  </si>
  <si>
    <t>4.6.2.9</t>
  </si>
  <si>
    <t xml:space="preserve"> LUVA, PVC, SOLDÁVEL, DN 25MM, INSTALADO EM RAMAL DE DISTRIBUIÇÃO DE ÁGUA - FORNECIMENTO E INSTALAÇÃO. AF_12/2014</t>
  </si>
  <si>
    <t>CUSTO TOTAL DO ITEM 4.6</t>
  </si>
  <si>
    <t>4.7</t>
  </si>
  <si>
    <t>INSTALAÇÕES ELÉTRICAS</t>
  </si>
  <si>
    <t>4.7.1</t>
  </si>
  <si>
    <t>CABO DE COBRE FLEXÍVEL ISOLADO, 10 MM², ANTI-CHAMA 450/750 V, PARA DISTRIBUIÇÃO - FORNECIMENTO E INSTALAÇÃO. AF_12/2015</t>
  </si>
  <si>
    <t>4.7.2</t>
  </si>
  <si>
    <t>QUADRO DE DISTRIBUIÇÃO DE ENERGIA EM CHAPA DE AÇO GALVANIZADO, DE SOBREPOR, COM BARRAMENTO TRIFÁSICO, PARA 18 DISJUNTORES DIN 100A - FORNECIMENTO E INSTALAÇÃO. AF_10/2020</t>
  </si>
  <si>
    <t>4.7.3</t>
  </si>
  <si>
    <t>DISJUNTOR TRIPOLAR TIPO DIN, CORRENTE NOMINAL DE 40A - FORNECIMENTO E INSTALAÇÃO. AF_10/2020</t>
  </si>
  <si>
    <t>4.7.4</t>
  </si>
  <si>
    <t>ELE-ELE-055</t>
  </si>
  <si>
    <t>ELETRODUTO DE AÇO GALVANIZADO LEVE, INCLUSIVE CONEXÕES, SUPORTES E FIXAÇÃO DN 20 (3/4")</t>
  </si>
  <si>
    <t>4.7.5</t>
  </si>
  <si>
    <t>ELETRODUTO FLEXÍVEL CORRUGADO, PEAD, DN 50 (1 1/2"), PARA REDE ENTERRADA DE DISTRIBUIÇÃO DE ENERGIA ELÉTRICA - FORNECIMENTO E INSTALAÇÃO. AF_12/2021</t>
  </si>
  <si>
    <t>4.7.6</t>
  </si>
  <si>
    <t>ELE-CXS-211</t>
  </si>
  <si>
    <t>CAIXA DE INSPEÇÃO EM CONCRETO, TIPO "ZB" GARAGEM, PADRÃO CEMIG, DIMENSÃO (52X44)CM, ALTURA 70CM, COM TAMPA E ARO ARTICULADO EM FERRO FUNDIDO, INCLUSIVE ESCAVAÇÃO, APILOAMENTO, LASTRO DE BRITA, REATERRO E TRANSPORTE E RETIRADA DO MATERIAL ESCAVADO (EM CAÇAMBA)</t>
  </si>
  <si>
    <t>4.7.7</t>
  </si>
  <si>
    <t>DISJUNTOR MONOPOLAR TIPO DIN, CORRENTE NOMINAL DE 10A - FORNECIMENTO E INSTALAÇÃO. AF_10/2020</t>
  </si>
  <si>
    <t>4.7.8</t>
  </si>
  <si>
    <t>DISJUNTOR MONOPOLAR TIPO DIN, CORRENTE NOMINAL DE 20A - FORNECIMENTO E INSTALAÇÃO. AF_10/2020</t>
  </si>
  <si>
    <t>4.7.9</t>
  </si>
  <si>
    <t>CABO DE COBRE FLEXÍVEL ISOLADO, 1,5 MM², ANTI-CHAMA 450/750 V, PARA CIRCUITOS TERMINAIS - FORNECIMENTO E INSTALAÇÃO. AF_12/2015</t>
  </si>
  <si>
    <t>4.7.10</t>
  </si>
  <si>
    <t>CABO DE COBRE FLEXÍVEL ISOLADO, 2,5 MM², ANTI-CHAMA 450/750 V, PARA CIRCUITOS TERMINAIS - FORNECIMENTO E INSTALAÇÃO. AF_12/2015</t>
  </si>
  <si>
    <t>4.7.11</t>
  </si>
  <si>
    <t>COMP-ELE-106</t>
  </si>
  <si>
    <t>LUMINARIA DE TETO PLAFON/PLAFONIER EM PLASTICO COM BASE E27 COM LÂMPADA LED TIPO BULBO DE 10W- FORNECIMENTO E INSTALAÇÃO</t>
  </si>
  <si>
    <t>4.7.12</t>
  </si>
  <si>
    <t>COMP-ELE-004</t>
  </si>
  <si>
    <t>TOMADA APARENTE COMPLETA 10A 250V EM CONDULETE COM TAMPA DE ALUMÍNIO 3/4'' COM UNIDUT - FORNECIMENTO E INSTALAÇÃO</t>
  </si>
  <si>
    <t>4.7.13</t>
  </si>
  <si>
    <t>HASTE DE ATERRAMENTO 3/4 PARA SPDA - FORNECIMENTO E INSTALAÇÃO. AF_12/2017</t>
  </si>
  <si>
    <t>4.7.14</t>
  </si>
  <si>
    <t>CAIXA DE INSPEÇÃO PARA ATERRAMENTO, CIRCULAR, EM POLIETILENO, DIÂMETRO INTERNO = 0,3 M. AF_12/2020</t>
  </si>
  <si>
    <t>4.7.15</t>
  </si>
  <si>
    <t>ELE-COR-010</t>
  </si>
  <si>
    <t>CABO DE COBRE NÚ # 10 MM2, ENTERRADO, EXCLUSIVE ESCAVAÇÃO E REATERRO</t>
  </si>
  <si>
    <t>4.7.16</t>
  </si>
  <si>
    <t>CPU-GAS-005</t>
  </si>
  <si>
    <t>CONDULETE DE ALUMÍNIO, TIPO X COM TAMPA CEGA, PARA ELETRODUTO DE AÇO GALVANIZADO DN 20 MM (3/4''), APARENTE - FORNECIMENTO E INSTALAÇÃO. AF_11/2016_P</t>
  </si>
  <si>
    <t>4.7.17</t>
  </si>
  <si>
    <t>COMP-ELE-28</t>
  </si>
  <si>
    <t>INTERRUPTOR SIMPLES APARENTE COMPLETO COM TAMPA EM CONDULETE DE ALUMÍNIO 3/4'' COM UNIDUT - FORNECIMENTO E INSTALAÇÃO</t>
  </si>
  <si>
    <t>CUSTO TOTAL DO ITEM 4.7</t>
  </si>
  <si>
    <t>4.8</t>
  </si>
  <si>
    <t>SERVIÇOS COMPLEMENTARES</t>
  </si>
  <si>
    <t>4.8.1</t>
  </si>
  <si>
    <t>LIM-GER-005</t>
  </si>
  <si>
    <t>LIMPEZA GERAL DE OBRA</t>
  </si>
  <si>
    <t>4.8.2</t>
  </si>
  <si>
    <t>ESCAVAÇÃO MANUAL DE VALA (ABERTURA DE VALA FOSSA SÉPTICA E LIGAÇÃO DE ÁGUA)</t>
  </si>
  <si>
    <t>4.8.3</t>
  </si>
  <si>
    <t>PLA-ALU-045</t>
  </si>
  <si>
    <t>PLACA DE ALUMÍNIO ANODIZADO 25 X 25 CM PARA IDENTIFICAÇÃO - FORNECIMENTO E INSTALAÇÃO</t>
  </si>
  <si>
    <t>4.8.4</t>
  </si>
  <si>
    <t>COMP-ABRIGO-02</t>
  </si>
  <si>
    <t>FRISO PROTETOR DE PORTA CONTRA INSETOS - FORNECIMENTO E INSTALAÇÃO</t>
  </si>
  <si>
    <t>CUSTO TOTAL DO ITEM 4.8</t>
  </si>
  <si>
    <t>ABRIGO TEMPORÁRIO DE RESÍDUOS INFECTANTES (4 UNIDADES)</t>
  </si>
  <si>
    <t>5.1</t>
  </si>
  <si>
    <t>5.1.1</t>
  </si>
  <si>
    <t>VIGAS BALDRAMES E CINTAS DE AMARRAÇÃO</t>
  </si>
  <si>
    <t>5.1.1.1</t>
  </si>
  <si>
    <t>ESCAVAÇÃO MANUAL DE VALAS (VIGAS BALDRAMES)</t>
  </si>
  <si>
    <t>5.1.1.2</t>
  </si>
  <si>
    <t>5.1.1.3</t>
  </si>
  <si>
    <t>REGULARIZAÇÃO E COMPACTAÇÃO DE TERRENO COM PLACA VIBRATÓRIA (VIGAS BALDRAMES, PISO)</t>
  </si>
  <si>
    <t>5.1.1.4</t>
  </si>
  <si>
    <t>5.1.1.5</t>
  </si>
  <si>
    <t>FORMA E DESFORMA DE TÁBUA E SARRAFO, REAPROVEITAMENTO (3X) - (VIGAS BALDRAMES E PISO)</t>
  </si>
  <si>
    <t>5.1.1.6</t>
  </si>
  <si>
    <t>5.1.1.7</t>
  </si>
  <si>
    <t>5.1.1.8</t>
  </si>
  <si>
    <t>5.1.1.9</t>
  </si>
  <si>
    <t>CINTA DE AMARRAÇÃO DE ALVENARIA MOLDADA IN LOCO COM UTILIZAÇÃO DE BLOCOS CANALETA.</t>
  </si>
  <si>
    <t>5.1.1.10</t>
  </si>
  <si>
    <t>ARMAÇÃO DE CINTA DE ALVENARIA ESTRUTURAL; DIÂMETRO DE 10,0 MM. AF_09/2021</t>
  </si>
  <si>
    <t>5.1.2</t>
  </si>
  <si>
    <t xml:space="preserve">LAJE PISO </t>
  </si>
  <si>
    <t>5.1.2.1</t>
  </si>
  <si>
    <t>5.1.2.2</t>
  </si>
  <si>
    <t>5.1.2.3</t>
  </si>
  <si>
    <t>CUSTO TOTAL DO ITEM 5.1</t>
  </si>
  <si>
    <t>5.2</t>
  </si>
  <si>
    <t>5.2.1</t>
  </si>
  <si>
    <t>5.2.1.1</t>
  </si>
  <si>
    <t>5.2.1.2</t>
  </si>
  <si>
    <t>5.2.2</t>
  </si>
  <si>
    <t>TELHAMENTO EM TELHA COLONIAL</t>
  </si>
  <si>
    <t>5.2.2.1</t>
  </si>
  <si>
    <t>CUSTO TOTAL DO ITEM 5.2</t>
  </si>
  <si>
    <t>5.3</t>
  </si>
  <si>
    <t>5.3.1</t>
  </si>
  <si>
    <t>5.3.1.1</t>
  </si>
  <si>
    <t>5.3.2</t>
  </si>
  <si>
    <t>5.3.2.1</t>
  </si>
  <si>
    <t>5.3.2.2</t>
  </si>
  <si>
    <t>5.3.2.3</t>
  </si>
  <si>
    <t>5.3.3</t>
  </si>
  <si>
    <t>PINTURA DE PORTAS</t>
  </si>
  <si>
    <t>5.3.3.1</t>
  </si>
  <si>
    <t>PINTURA COM TINTA ALQUÍDICA DE FUNDO (TIPO ZARCÃO) PULVERIZADA SOBRE PERFIL METÁLICO EXECUTADO EM FÁBRICA (POR DEMÃO)</t>
  </si>
  <si>
    <t>5.3.3.2</t>
  </si>
  <si>
    <t>PINTURA COM TINTA ALQUÍDICA DE ACABAMENTO (ESMALTE SINTÉTICO FOSCO) PULVERIZADA SOBRE SUPERFÍCIES METÁLICAS EXECUTADO EM OBRA (02 DEMÃOS)</t>
  </si>
  <si>
    <t>5.3.4</t>
  </si>
  <si>
    <t>5.3.4.1</t>
  </si>
  <si>
    <t>5.3.4.2</t>
  </si>
  <si>
    <t>5.3.5</t>
  </si>
  <si>
    <t>5.3.5.1</t>
  </si>
  <si>
    <t>5.3.6</t>
  </si>
  <si>
    <t>ESQUADRIAS (PORTAS METÁLICAS)</t>
  </si>
  <si>
    <t>5.3.6.1</t>
  </si>
  <si>
    <t>PORTÃO EM TUBO GALVANIZADO 1 1/2" COM TELA FIO 12 # 1/2" E CADEADO (P03)</t>
  </si>
  <si>
    <t>5.3.6.2</t>
  </si>
  <si>
    <t>COMP-CHAPA-01</t>
  </si>
  <si>
    <t>FORNECIMENTO E INSTALAÇÃO DE CHAPA DE ACO GALVANIZADA EM PORTÃO BITOLA GSG 30, E = 0,35 MM (2,80 KG/M2) - (P03)</t>
  </si>
  <si>
    <t>CUSTO TOTAL DO ITEM 5.3</t>
  </si>
  <si>
    <t>5.4</t>
  </si>
  <si>
    <t>5.4.1</t>
  </si>
  <si>
    <t>5.4.2</t>
  </si>
  <si>
    <t>5.4.3</t>
  </si>
  <si>
    <t>5.4.4</t>
  </si>
  <si>
    <t>5.4.5</t>
  </si>
  <si>
    <t>5.4.6</t>
  </si>
  <si>
    <t>5.4.7</t>
  </si>
  <si>
    <t>5.4.8</t>
  </si>
  <si>
    <t>CUSTO TOTAL DO ITEM 5.4</t>
  </si>
  <si>
    <t>5.5</t>
  </si>
  <si>
    <t>5.5.1</t>
  </si>
  <si>
    <t>5.5.2</t>
  </si>
  <si>
    <t>5.5.3</t>
  </si>
  <si>
    <t>5.5.4</t>
  </si>
  <si>
    <t>5.5.5</t>
  </si>
  <si>
    <t>LUMINÁRIA ARANDELA TIPO TARTARUGA, DE SOBREPOR, COM 1 LÂMPADA LED DE 6 W, SEM REATOR - FORNECIMENTO E INSTALAÇÃO. AF_02/2020</t>
  </si>
  <si>
    <t>5.5.6</t>
  </si>
  <si>
    <t>CUSTO TOTAL DO ITEM 5.5</t>
  </si>
  <si>
    <t>TOTAL DA OBRA SEM BDI</t>
  </si>
  <si>
    <t xml:space="preserve">BDI </t>
  </si>
  <si>
    <t>VALOR TOTAL COM BDI</t>
  </si>
  <si>
    <r>
      <rPr>
        <b/>
        <sz val="13"/>
        <color rgb="FF000000"/>
        <rFont val="Calibri, Arial"/>
        <charset val="1"/>
      </rPr>
      <t xml:space="preserve">UNIVERSIDADE FEDERAL DOS VALES DO JEQUITINHONHA E MUCURI
CAMPUS PRESIDENTE JUSCELINO KUBITSCHEK - DIAMANTINA - MG
REFORMA E AMPLIAÇÃO DO ABRIGO DE RESÍDUOS DE SERVIÇOS DE SAÚDE (RSS)
PLANILHA ORÇAMENTÁRIA ANALÍTICA DE REFERÊNCIA - </t>
    </r>
    <r>
      <rPr>
        <b/>
        <sz val="13"/>
        <color rgb="FFFF0000"/>
        <rFont val="Calibri"/>
        <family val="2"/>
        <charset val="1"/>
      </rPr>
      <t>NÃO DESONERADA</t>
    </r>
  </si>
  <si>
    <t>25.11%</t>
  </si>
  <si>
    <t xml:space="preserve"> 1 </t>
  </si>
  <si>
    <t xml:space="preserve"> 1.1 </t>
  </si>
  <si>
    <t>Código</t>
  </si>
  <si>
    <t>Banco</t>
  </si>
  <si>
    <t>Descrição</t>
  </si>
  <si>
    <t>Und</t>
  </si>
  <si>
    <t>Quant.</t>
  </si>
  <si>
    <t>Valor Unit</t>
  </si>
  <si>
    <t>Total</t>
  </si>
  <si>
    <t>Composição</t>
  </si>
  <si>
    <t xml:space="preserve"> MOB-DES-020 </t>
  </si>
  <si>
    <t>SETOP</t>
  </si>
  <si>
    <t xml:space="preserve"> 2 </t>
  </si>
  <si>
    <t xml:space="preserve"> 2.1 </t>
  </si>
  <si>
    <t xml:space="preserve"> 93572 </t>
  </si>
  <si>
    <t>SINAPI</t>
  </si>
  <si>
    <t>ENCARREGADO GERAL DE OBRAS COM ENCARGOS COMPLEMENTARES</t>
  </si>
  <si>
    <t>MES</t>
  </si>
  <si>
    <t>Composição Auxiliar</t>
  </si>
  <si>
    <t xml:space="preserve"> 95422 </t>
  </si>
  <si>
    <t>CURSO DE CAPACITAÇÃO PARA ENCARREGADO GERAL DE OBRAS (ENCARGOS COMPLEMENTARES) - MENSALISTA</t>
  </si>
  <si>
    <t>Insumo</t>
  </si>
  <si>
    <t xml:space="preserve"> 00040818 </t>
  </si>
  <si>
    <t>ENCARREGADO GERAL DE OBRAS (MENSALISTA)</t>
  </si>
  <si>
    <t xml:space="preserve"> 00043499 </t>
  </si>
  <si>
    <t>EPI - FAMILIA ENCARREGADO GERAL - MENSALISTA (ENCARGOS COMPLEMENTARES - COLETADO CAIXA)</t>
  </si>
  <si>
    <t xml:space="preserve"> 00040863 </t>
  </si>
  <si>
    <t>EXAMES - MENSALISTA (COLETADO CAIXA)</t>
  </si>
  <si>
    <t xml:space="preserve"> 00043475 </t>
  </si>
  <si>
    <t>FERRAMENTAS - FAMILIA ENCARREGADO GERAL - MENSALISTA (ENCARGOS COMPLEMENTARES - COLETADO CAIXA)</t>
  </si>
  <si>
    <t xml:space="preserve"> 00040864 </t>
  </si>
  <si>
    <t>SEGURO - MENSALISTA (COLETADO CAIXA)</t>
  </si>
  <si>
    <t xml:space="preserve"> 3 </t>
  </si>
  <si>
    <t xml:space="preserve"> 3.1 </t>
  </si>
  <si>
    <t xml:space="preserve"> ED-16660 </t>
  </si>
  <si>
    <t>m²</t>
  </si>
  <si>
    <t>204,75</t>
  </si>
  <si>
    <t xml:space="preserve"> ED-16671 </t>
  </si>
  <si>
    <t>FIXAÇÃO DE PLACA DE OBRA EM SUPORTE DE EUCALIPTO AUTOCLAVADO , INCLUSIVE PINTURA LÁTEX (PVA) EM SUPERFÍCIE DE MADEIRA, EM DUAS (2) DEMÃOS E ESCAVAÇÃO (MONTAGEM)</t>
  </si>
  <si>
    <t>173,78</t>
  </si>
  <si>
    <t xml:space="preserve"> ED-16670 </t>
  </si>
  <si>
    <t>PLACA DE OBRA EM CHAPA GALVANIZADA ENRIJECIDA , PLOTADA COM ADESIVO VINÍLICO, FIXADA COM REBITES 4,8X40MM, EM ESTRUTURA METÁLICA DE METALON 20X20MM, ESP. 1 ,25MM, EXCLUSIVE SUPORTE EM EUCALIPTO - PADRÃO GOVERNO DE MINAS GERAIS ( FABRICAÇÃO)</t>
  </si>
  <si>
    <t>30,97</t>
  </si>
  <si>
    <t xml:space="preserve"> 3.2 </t>
  </si>
  <si>
    <t xml:space="preserve"> IIO-TAP-026 </t>
  </si>
  <si>
    <t>15,00</t>
  </si>
  <si>
    <t xml:space="preserve"> MAO-AJD-010 </t>
  </si>
  <si>
    <t>AJUDANTE DE CARPINTEIRO COM ENCARGOS COMPLEMENTARES</t>
  </si>
  <si>
    <t>HORA</t>
  </si>
  <si>
    <t>19,03</t>
  </si>
  <si>
    <t xml:space="preserve"> AUX-CON-005 </t>
  </si>
  <si>
    <t>CONCRETO MAGRO, TRAÇO 1:4:8, PREPARADO EM OBRA COM BETONEIRA, SEM FUNÇÃO ESTRUTURAL</t>
  </si>
  <si>
    <t>m³</t>
  </si>
  <si>
    <t>325,92</t>
  </si>
  <si>
    <t xml:space="preserve"> MATED- 11344 </t>
  </si>
  <si>
    <t>PONTALETE 3A. CONSTRUÇÃO (SEÇÃO TRANSVERSAL: 3"X3" [7,5X7 ,5CM]|TIPO DE MADEIRA: CEDRO OU EQUIVALENTE DA REGIÃO)</t>
  </si>
  <si>
    <t>m</t>
  </si>
  <si>
    <t>0,26</t>
  </si>
  <si>
    <t xml:space="preserve"> MATED- 11331 </t>
  </si>
  <si>
    <t>PREGO 17X27 COM CABEÇA (COMPRIMENTO: 62,1 MM|DIÂMETRO: 3,0 MM| QUANTIDADE POR QUILO: 290)</t>
  </si>
  <si>
    <t>Kg</t>
  </si>
  <si>
    <t>8,33</t>
  </si>
  <si>
    <t xml:space="preserve"> MATED- 11459 </t>
  </si>
  <si>
    <t>Tela de polietileno para proteção tapume (largura: 1, 20 m)</t>
  </si>
  <si>
    <t>1,56</t>
  </si>
  <si>
    <t xml:space="preserve"> ED-48610 </t>
  </si>
  <si>
    <t>FORMA PARA BERÇO EM TABUA, INCLUSIVE DESFORMA</t>
  </si>
  <si>
    <t>32,46</t>
  </si>
  <si>
    <t xml:space="preserve"> 3.3 </t>
  </si>
  <si>
    <t xml:space="preserve"> LOC-OBR-005 </t>
  </si>
  <si>
    <t>8,38</t>
  </si>
  <si>
    <t xml:space="preserve"> MAO-OFC-020 </t>
  </si>
  <si>
    <t>CARPINTEIRO DE FORMA COM ENCARGOS COMPLEMENTARES</t>
  </si>
  <si>
    <t>22,84</t>
  </si>
  <si>
    <t>1,59</t>
  </si>
  <si>
    <t xml:space="preserve"> MAO-AJD-040 </t>
  </si>
  <si>
    <t>SERVENTE COM ENCARGOS COMPLEMENTARES</t>
  </si>
  <si>
    <t>16,81</t>
  </si>
  <si>
    <t>1,17</t>
  </si>
  <si>
    <t xml:space="preserve"> MATED- 12852 </t>
  </si>
  <si>
    <t>ARAME GALVANIZADO ( BITOLA: 16BWG|DIÂMETRO DO FIO: 1,65MM|MASSA LINEAR: 0,0166KG/M)</t>
  </si>
  <si>
    <t>11,28</t>
  </si>
  <si>
    <t>0,22</t>
  </si>
  <si>
    <t>2,49</t>
  </si>
  <si>
    <t xml:space="preserve"> MATED- 11332 </t>
  </si>
  <si>
    <t>PREGO 18X30 COM CABEÇA (COMPRIMENTO: 69,0 MM|DIÂMETRO: 3,4 MM| QUANTIDADE POR QUILO: 203)</t>
  </si>
  <si>
    <t>31,75</t>
  </si>
  <si>
    <t>2,54</t>
  </si>
  <si>
    <t xml:space="preserve"> MATED- 11352 </t>
  </si>
  <si>
    <t>TÁBUA 3A. CONSTRUÇÃO ( SEÇÃO TRANSVERSAL: 1X9"|ESPESSURA: 25MM| LARGURA: 225MM|TIPO DE MADEIRA: CEDRINHO)</t>
  </si>
  <si>
    <t>18,76</t>
  </si>
  <si>
    <t>0,37</t>
  </si>
  <si>
    <t xml:space="preserve"> 4 </t>
  </si>
  <si>
    <t xml:space="preserve"> 4.1 </t>
  </si>
  <si>
    <t xml:space="preserve"> 4.1.1 </t>
  </si>
  <si>
    <t xml:space="preserve"> 4.1.1.1 </t>
  </si>
  <si>
    <t xml:space="preserve"> 97629 </t>
  </si>
  <si>
    <t xml:space="preserve"> 5795 </t>
  </si>
  <si>
    <t>MARTELETE OU ROMPEDOR PNEUMÁTICO MANUAL, 28 KG, COM SILENCIADOR - CHP DIURNO. AF_07/2016</t>
  </si>
  <si>
    <t>CHP</t>
  </si>
  <si>
    <t xml:space="preserve"> 5952 </t>
  </si>
  <si>
    <t>MARTELETE OU ROMPEDOR PNEUMÁTICO MANUAL, 28 KG, COM SILENCIADOR - CHI DIURNO. AF_07/2016</t>
  </si>
  <si>
    <t>CHI</t>
  </si>
  <si>
    <t xml:space="preserve"> 88316 </t>
  </si>
  <si>
    <t>H</t>
  </si>
  <si>
    <t xml:space="preserve"> 88309 </t>
  </si>
  <si>
    <t>PEDREIRO COM ENCARGOS COMPLEMENTARES</t>
  </si>
  <si>
    <t xml:space="preserve"> 4.1.1.2 </t>
  </si>
  <si>
    <t xml:space="preserve"> 93358 </t>
  </si>
  <si>
    <t xml:space="preserve"> 4.1.1.3 </t>
  </si>
  <si>
    <t xml:space="preserve"> 93382 </t>
  </si>
  <si>
    <t xml:space="preserve"> 91534 </t>
  </si>
  <si>
    <t>COMPACTADOR DE SOLOS DE PERCUSSÃO (SOQUETE) COM MOTOR A GASOLINA 4 TEMPOS, POTÊNCIA 4 CV - CHI DIURNO. AF_08/2015</t>
  </si>
  <si>
    <t xml:space="preserve"> 91533 </t>
  </si>
  <si>
    <t>COMPACTADOR DE SOLOS DE PERCUSSÃO (SOQUETE) COM MOTOR A GASOLINA 4 TEMPOS, POTÊNCIA 4 CV - CHP DIURNO. AF_08/2015</t>
  </si>
  <si>
    <t xml:space="preserve"> 95606 </t>
  </si>
  <si>
    <t>UMIDIFICAÇÃO DE MATERIAL PARA VALAS COM CAMINHÃO PIPA 10000L. AF_11/2016</t>
  </si>
  <si>
    <t xml:space="preserve"> 4.1.1.4 </t>
  </si>
  <si>
    <t xml:space="preserve"> TER-REG-010 </t>
  </si>
  <si>
    <t>4,12</t>
  </si>
  <si>
    <t xml:space="preserve"> MAO-OFC-075 </t>
  </si>
  <si>
    <t>23,10</t>
  </si>
  <si>
    <t>0,60</t>
  </si>
  <si>
    <t>2,01</t>
  </si>
  <si>
    <t xml:space="preserve"> MATED- 11198 </t>
  </si>
  <si>
    <t>COMPACTADOR DE SOLOS COM PLACA VIBRATORIA, DE 135 A 156 KG, COM MOTOR A DIESEL OU GASOLINA DE 4 A 6 HP, NAO REVERSIVEL ( LOCACAO)</t>
  </si>
  <si>
    <t>U</t>
  </si>
  <si>
    <t>12,61</t>
  </si>
  <si>
    <t>1,51</t>
  </si>
  <si>
    <t xml:space="preserve"> 4.1.1.5 </t>
  </si>
  <si>
    <t xml:space="preserve"> 96557 </t>
  </si>
  <si>
    <t>512,80</t>
  </si>
  <si>
    <t xml:space="preserve"> 90586 </t>
  </si>
  <si>
    <t>VIBRADOR DE IMERSÃO, DIÂMETRO DE PONTEIRA 45MM, MOTOR ELÉTRICO TRIFÁSICO POTÊNCIA DE 2 CV - CHP DIURNO. AF_06/2015</t>
  </si>
  <si>
    <t>1,29</t>
  </si>
  <si>
    <t>0,11</t>
  </si>
  <si>
    <t xml:space="preserve"> 90587 </t>
  </si>
  <si>
    <t>VIBRADOR DE IMERSÃO, DIÂMETRO DE PONTEIRA 45MM, MOTOR ELÉTRICO TRIFÁSICO POTÊNCIA DE 2 CV - CHI DIURNO. AF_06/2015</t>
  </si>
  <si>
    <t>0,44</t>
  </si>
  <si>
    <t>0,04</t>
  </si>
  <si>
    <t>9,14</t>
  </si>
  <si>
    <t xml:space="preserve"> 00001525 </t>
  </si>
  <si>
    <t>CONCRETO USINADO BOMBEAVEL, CLASSE DE RESISTENCIA C30, COM BRITA 0 E 1, SLUMP = 100 +/- 20 MM, INCLUI SERVICO DE BOMBEAMENTO (NBR 8953)</t>
  </si>
  <si>
    <t>430,55</t>
  </si>
  <si>
    <t>495,13</t>
  </si>
  <si>
    <t xml:space="preserve"> 4.1.1.6 </t>
  </si>
  <si>
    <t xml:space="preserve"> EST-FOR-005 </t>
  </si>
  <si>
    <t>52,57</t>
  </si>
  <si>
    <t xml:space="preserve"> ED-8461 </t>
  </si>
  <si>
    <t>FORMA E DESFORMA PARA LAJE DE MADEIRA COM TÁBUA E SARRAFO, REAPROVEITAMENTO (3X), EXCLUSIVE ESCORAMENTO</t>
  </si>
  <si>
    <t>65,18</t>
  </si>
  <si>
    <t>8,34</t>
  </si>
  <si>
    <t xml:space="preserve"> ED-8459 </t>
  </si>
  <si>
    <t>FORMA E DESFORMA PARA PILAR DE MADEIRA COM TÁBUA E SARRAFO, REAPROVEITAMENTO (3X), EXCLUSIVE ESCORAMENTO</t>
  </si>
  <si>
    <t>54,97</t>
  </si>
  <si>
    <t>18,46</t>
  </si>
  <si>
    <t xml:space="preserve"> ED-8460 </t>
  </si>
  <si>
    <t>FORMA E DESFORMA PARA VIGA DE MADEIRA COM TÁBUA E SARRAFO, REAPROVEITAMENTO (3X), EXCLUSIVE ESCORAMENTO</t>
  </si>
  <si>
    <t>48,08</t>
  </si>
  <si>
    <t>25,77</t>
  </si>
  <si>
    <t xml:space="preserve"> 4.1.1.7 </t>
  </si>
  <si>
    <t xml:space="preserve"> 98557 </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</si>
  <si>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</si>
  <si>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</si>
  <si>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</si>
  <si>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</si>
  <si>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</si>
  <si>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IMPERMEABILIZANTE ASFASTICA)</t>
  </si>
  <si>
    <t xml:space="preserve"> 4.1.1.8 </t>
  </si>
  <si>
    <t xml:space="preserve"> 96543 </t>
  </si>
  <si>
    <t>ARMAÇÃO DE BLOCO, VIGA BALDRAME E SAPATA UTILIZANDO AÇO CA-60 DE 4,2 E 5 MM - MONTAGEM.</t>
  </si>
  <si>
    <t xml:space="preserve"> 92791 </t>
  </si>
  <si>
    <t>CORTE E DOBRA DE AÇO CA-60, DIÂMETRO DE 5,0 MM, UTILIZADO EM ESTRUTURAS DIVERSAS, EXCETO LAJES. AF_12/2015</t>
  </si>
  <si>
    <t xml:space="preserve"> 88238 </t>
  </si>
  <si>
    <t>AJUDANTE DE ARMADOR COM ENCARGOS COMPLEMENTARES</t>
  </si>
  <si>
    <t xml:space="preserve"> 88245 </t>
  </si>
  <si>
    <t>ARMADOR COM ENCARGOS COMPLEMENTARES</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</si>
  <si>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</si>
  <si>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</si>
  <si>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</si>
  <si>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</si>
  <si>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4.1.1.9 </t>
  </si>
  <si>
    <t xml:space="preserve"> 96545 </t>
  </si>
  <si>
    <t xml:space="preserve"> 92793 </t>
  </si>
  <si>
    <t>CORTE E DOBRA DE AÇO CA-50, DIÂMETRO DE 8,0 MM, UTILIZADO EM ESTRUTURAS DIVERSAS, EXCETO LAJES. AF_12/2015</t>
  </si>
  <si>
    <t xml:space="preserve"> 4.1.2 </t>
  </si>
  <si>
    <t>LAJE PISO E RAMPA ACESSO</t>
  </si>
  <si>
    <t xml:space="preserve"> 4.1.2.1 </t>
  </si>
  <si>
    <t xml:space="preserve"> PIS-LON-005 </t>
  </si>
  <si>
    <t>2,56</t>
  </si>
  <si>
    <t>1,68</t>
  </si>
  <si>
    <t xml:space="preserve"> MATED- 12058 </t>
  </si>
  <si>
    <t>LONA PLÁSTICA (COR: PRETA/ESPESSURA: 150 MICRAS)</t>
  </si>
  <si>
    <t>0,84</t>
  </si>
  <si>
    <t>0,88</t>
  </si>
  <si>
    <t xml:space="preserve"> 4.1.2.2 </t>
  </si>
  <si>
    <t xml:space="preserve"> 97092 </t>
  </si>
  <si>
    <t xml:space="preserve"> 00007156 </t>
  </si>
  <si>
    <t>TELA DE ACO SOLDADA NERVURADA, CA-60, Q-196, (3,11 KG/M2), DIAMETRO DO FIO = 5,0 MM, LARGURA = 2,45 M, ESPACAMENTO DA MALHA = 10 X 10 CM</t>
  </si>
  <si>
    <t xml:space="preserve"> 00042407 </t>
  </si>
  <si>
    <t>TRELICA NERVURADA (ESPACADOR), ALTURA = 120,0 MM, DIAMETRO DOS BANZOS INFERIORES E SUPERIOR = 6,0 MM, DIAMETRO DA DIAGONAL = 4,2 MM</t>
  </si>
  <si>
    <t xml:space="preserve"> 4.1.2.3 </t>
  </si>
  <si>
    <t xml:space="preserve"> 97096 </t>
  </si>
  <si>
    <t xml:space="preserve"> 4.1.3 </t>
  </si>
  <si>
    <t xml:space="preserve"> 4.1.3.1 </t>
  </si>
  <si>
    <t xml:space="preserve"> COMP-ABRIGO-03 </t>
  </si>
  <si>
    <t>Próprio</t>
  </si>
  <si>
    <t xml:space="preserve"> 88240 </t>
  </si>
  <si>
    <t>AJUDANTE DE ESTRUTURA METÁLICA COM ENCARGOS COMPLEMENTARES</t>
  </si>
  <si>
    <t xml:space="preserve"> 88278 </t>
  </si>
  <si>
    <t>MONTADOR DE ESTRUTURA METÁLICA COM ENCARGOS COMPLEMENTARES</t>
  </si>
  <si>
    <t xml:space="preserve"> 73656 </t>
  </si>
  <si>
    <t>JATEAMENTO COM AREIA EM ESTRUTURA METALICA</t>
  </si>
  <si>
    <t xml:space="preserve"> 74064/001 </t>
  </si>
  <si>
    <t>FUNDO ANTICORROSIVO A BASE DE OXIDO DE FERRO (ZARCAO), DUAS DEMAOS</t>
  </si>
  <si>
    <t xml:space="preserve"> 100740 </t>
  </si>
  <si>
    <t>PINTURA COM TINTA ALQUÍDICA DE ACABAMENTO (ESMALTE SINTÉTICO ACETINADO) APLICADA A ROLO OU PINCEL SOBRE PERFIL METÁLICO EXECUTADO EM FÁBRICA (POR DEMÃO). AF_01/2020</t>
  </si>
  <si>
    <t xml:space="preserve"> 00000442 </t>
  </si>
  <si>
    <t>PARAFUSO FRANCES M16 EM ACO GALVANIZADO, COMPRIMENTO = 45 MM, DIAMETRO = 16 MM, CABECA ABAULADA</t>
  </si>
  <si>
    <t xml:space="preserve"> 00001333 </t>
  </si>
  <si>
    <t>CHAPA DE ACO GROSSA, ASTM A36, E = 1/2 " (12,70 MM) 99,59 KG/M2</t>
  </si>
  <si>
    <t xml:space="preserve"> 00040598 </t>
  </si>
  <si>
    <t>PERFIL UDC ("U" DOBRADO DE CHAPA) SIMPLES DE ACO LAMINADO, GALVANIZADO, ASTM A36, 127 X 50 MM, E= 3 MM</t>
  </si>
  <si>
    <t xml:space="preserve"> 4.1.3.2 </t>
  </si>
  <si>
    <t xml:space="preserve"> 4.2 </t>
  </si>
  <si>
    <t xml:space="preserve"> 4.2.1 </t>
  </si>
  <si>
    <t xml:space="preserve"> 4.2.1.1 </t>
  </si>
  <si>
    <t xml:space="preserve"> 97647 </t>
  </si>
  <si>
    <t xml:space="preserve"> 88323 </t>
  </si>
  <si>
    <t>TELHADISTA COM ENCARGOS COMPLEMENTARES</t>
  </si>
  <si>
    <t xml:space="preserve"> 4.2.2 </t>
  </si>
  <si>
    <t xml:space="preserve"> 4.2.2.1 </t>
  </si>
  <si>
    <t xml:space="preserve"> 92580 </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</si>
  <si>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</si>
  <si>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</si>
  <si>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</si>
  <si>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</si>
  <si>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00040549 </t>
  </si>
  <si>
    <t>PARAFUSO, COMUM, ASTM A307, SEXTAVADO, DIAMETRO 1/2" (12,7 MM), COMPRIMENTO 1" (25,4 MM)</t>
  </si>
  <si>
    <t>CENTO</t>
  </si>
  <si>
    <t xml:space="preserve"> 00043083 </t>
  </si>
  <si>
    <t>PERFIL "U" ENRIJECIDO DE ACO GALVANIZADO, DOBRADO, 150 X 60 X 20 MM, E = 3,00 MM OU 200 X 75 X 25 MM, E = 3,75 MM</t>
  </si>
  <si>
    <t xml:space="preserve"> 4.2.2.2 </t>
  </si>
  <si>
    <t xml:space="preserve"> PIN-ESM-035 </t>
  </si>
  <si>
    <t>30,32</t>
  </si>
  <si>
    <t xml:space="preserve"> MAO-AJD-030 </t>
  </si>
  <si>
    <t>AJUDANTE DE PINTOR COM ENCARGOS COMPLEMENTARES</t>
  </si>
  <si>
    <t>19,11</t>
  </si>
  <si>
    <t>1,52</t>
  </si>
  <si>
    <t xml:space="preserve"> MAO-OFC-080 </t>
  </si>
  <si>
    <t>PINTOR COM ENCARGOS COMPLEMENTARES</t>
  </si>
  <si>
    <t>24,16</t>
  </si>
  <si>
    <t>19,32</t>
  </si>
  <si>
    <t xml:space="preserve"> MATED- 12750 </t>
  </si>
  <si>
    <t>FUNDO PARA SUPERÍFICIE GALVANIZADA ( ACABAMENTO: FOSCO)</t>
  </si>
  <si>
    <t>l</t>
  </si>
  <si>
    <t>30,17</t>
  </si>
  <si>
    <t>4,82</t>
  </si>
  <si>
    <t xml:space="preserve"> MATED- 11433 </t>
  </si>
  <si>
    <t>LIXA PARA SUPERFÍCIE METÁLICA EM FOLHA ( GRÃO: 100|DIMENSÃO: 225x275MM)</t>
  </si>
  <si>
    <t>un</t>
  </si>
  <si>
    <t>11,47</t>
  </si>
  <si>
    <t>0,34</t>
  </si>
  <si>
    <t xml:space="preserve"> MATED- 11432 </t>
  </si>
  <si>
    <t>SOLVENTE DILUENTE À BASE DE AGUARRÁS</t>
  </si>
  <si>
    <t>3,06</t>
  </si>
  <si>
    <t>0,91</t>
  </si>
  <si>
    <t xml:space="preserve"> MATED- 11444 </t>
  </si>
  <si>
    <t>TINTA ESMALTE SINTÉTICO (TIPO: PREMIUM/ ACABAMENTO: ACETINADO )</t>
  </si>
  <si>
    <t>28,46</t>
  </si>
  <si>
    <t>3,41</t>
  </si>
  <si>
    <t xml:space="preserve"> 4.2.3 </t>
  </si>
  <si>
    <t xml:space="preserve"> 4.2.3.1 </t>
  </si>
  <si>
    <t xml:space="preserve"> COB-TEL-045 </t>
  </si>
  <si>
    <t>82,71</t>
  </si>
  <si>
    <t xml:space="preserve"> MAO-OFC-070 </t>
  </si>
  <si>
    <t>MONTADOR COM ENCARGOS COMPLEMENTARES</t>
  </si>
  <si>
    <t>13,44</t>
  </si>
  <si>
    <t>21,41</t>
  </si>
  <si>
    <t>8,56</t>
  </si>
  <si>
    <t xml:space="preserve"> MATED- 11377 </t>
  </si>
  <si>
    <t>CONJUNTO VEDAÇÃO ELÁSTICA (DIÂMETRO DO FURO: 8MM)</t>
  </si>
  <si>
    <t>48,09</t>
  </si>
  <si>
    <t>57,70</t>
  </si>
  <si>
    <t xml:space="preserve"> MATED- 11379 </t>
  </si>
  <si>
    <t>GANCHO CHATO PARA FIXAÇÃO DE TELHAS ( COMPRIMENTO: 100MM)</t>
  </si>
  <si>
    <t>0,12</t>
  </si>
  <si>
    <t>0,07</t>
  </si>
  <si>
    <t xml:space="preserve"> MATED- 12176 </t>
  </si>
  <si>
    <t>TELHA GALVANIZADA ( MODELO: TRAPEZOIDAL/ ACABAMENTO: NATURAL SEM PINTURA/ESPESSURA TELHA: 0,50MM/ALTURA: 40MM/TIPO: SIMPLES SEM ISOLAMENTO TERMOACÚSTICO/ MATERIAL: GALVALUME)</t>
  </si>
  <si>
    <t>0,98</t>
  </si>
  <si>
    <t>2,94</t>
  </si>
  <si>
    <t xml:space="preserve"> 4.2.4 </t>
  </si>
  <si>
    <t xml:space="preserve"> 4.2.4.1 </t>
  </si>
  <si>
    <t xml:space="preserve"> COB-CUM-015 </t>
  </si>
  <si>
    <t>32,86</t>
  </si>
  <si>
    <t xml:space="preserve"> MAO-AJD-025 </t>
  </si>
  <si>
    <t>AJUDANTE DE TELHADISTA COM ENCARGOS COMPLEMENTARES</t>
  </si>
  <si>
    <t>25,03</t>
  </si>
  <si>
    <t>5,00</t>
  </si>
  <si>
    <t xml:space="preserve"> MAO-OFC-105 </t>
  </si>
  <si>
    <t>3,80</t>
  </si>
  <si>
    <t>0,18</t>
  </si>
  <si>
    <t xml:space="preserve"> MATED- 12561 </t>
  </si>
  <si>
    <t>CUMEEIRA GALVANIZADA TRAPEZOIDAL SIMPLES</t>
  </si>
  <si>
    <t>20,53</t>
  </si>
  <si>
    <t>20,94</t>
  </si>
  <si>
    <t xml:space="preserve"> 4.2.4.2 </t>
  </si>
  <si>
    <t xml:space="preserve"> 94228 </t>
  </si>
  <si>
    <t xml:space="preserve"> 00040783 </t>
  </si>
  <si>
    <t>CALHA QUADRADA DE CHAPA DE ACO GALVANIZADA NUM 24, CORTE 50 CM</t>
  </si>
  <si>
    <t xml:space="preserve"> 00005061 </t>
  </si>
  <si>
    <t>PREGO DE ACO POLIDO COM CABECA 18 X 27 (2 1/2 X 10)</t>
  </si>
  <si>
    <t xml:space="preserve"> 00005104 </t>
  </si>
  <si>
    <t>REBITE DE ALUMINIO VAZADO DE REPUXO, 3,2 X 8 MM (1KG = 1025 UNIDADES)</t>
  </si>
  <si>
    <t xml:space="preserve"> 00000142 </t>
  </si>
  <si>
    <t>SELANTE ELASTICO MONOCOMPONENTE A BASE DE POLIURETANO (PU) PARA JUNTAS DIVERSAS</t>
  </si>
  <si>
    <t>310ML</t>
  </si>
  <si>
    <t xml:space="preserve"> 00013388 </t>
  </si>
  <si>
    <t>SOLDA EM BARRA DE ESTANHO-CHUMBO 50/50</t>
  </si>
  <si>
    <t xml:space="preserve"> 4.2.4.3 </t>
  </si>
  <si>
    <t xml:space="preserve"> 91789 </t>
  </si>
  <si>
    <t xml:space="preserve"> 89576 </t>
  </si>
  <si>
    <t>TUBO PVC, SÉRIE R, ÁGUA PLUVIAL, DN 75 MM, FORNECIDO E INSTALADO EM CONDUTORES VERTICAIS DE ÁGUAS PLUVIAIS. AF_12/2014</t>
  </si>
  <si>
    <t xml:space="preserve"> 89511 </t>
  </si>
  <si>
    <t>TUBO PVC, SÉRIE R, ÁGUA PLUVIAL, DN 75 MM, FORNECIDO E INSTALADO EM RAMAL DE ENCAMINHAMENTO. AF_12/2014</t>
  </si>
  <si>
    <t xml:space="preserve"> 89582 </t>
  </si>
  <si>
    <t>JOELHO 45 GRAUS, PVC, SERIE R, ÁGUA PLUVIAL, DN 75 MM, JUNTA ELÁSTICA, FORNECIDO E INSTALADO EM CONDUTORES VERTICAIS DE ÁGUAS PLUVIAIS. AF_12/2014</t>
  </si>
  <si>
    <t xml:space="preserve"> 89557 </t>
  </si>
  <si>
    <t>REDUÇÃO EXCÊNTRICA, PVC, SERIE R, ÁGUA PLUVIAL, DN 100 X 75 MM, JUNTA ELÁSTICA, FORNECIDO E INSTALADO EM RAMAL DE ENCAMINHAMENTO. AF_12/2014</t>
  </si>
  <si>
    <t xml:space="preserve"> 89581 </t>
  </si>
  <si>
    <t>JOELHO 90 GRAUS, PVC, SERIE R, ÁGUA PLUVIAL, DN 75 MM, JUNTA ELÁSTICA, FORNECIDO E INSTALADO EM CONDUTORES VERTICAIS DE ÁGUAS PLUVIAIS. AF_12/2014</t>
  </si>
  <si>
    <t xml:space="preserve"> 89547 </t>
  </si>
  <si>
    <t>LUVA SIMPLES, PVC, SERIE R, ÁGUA PLUVIAL, DN 75 MM, JUNTA ELÁSTICA, FORNECIDO E INSTALADO EM RAMAL DE ENCAMINHAMENTO. AF_12/2014</t>
  </si>
  <si>
    <t xml:space="preserve"> 89522 </t>
  </si>
  <si>
    <t>JOELHO 90 GRAUS, PVC, SERIE R, ÁGUA PLUVIAL, DN 75 MM, JUNTA ELÁSTICA, FORNECIDO E INSTALADO EM RAMAL DE ENCAMINHAMENTO. AF_12/2014</t>
  </si>
  <si>
    <t xml:space="preserve"> 89524 </t>
  </si>
  <si>
    <t>JOELHO 45 GRAUS, PVC, SERIE R, ÁGUA PLUVIAL, DN 75 MM, JUNTA ELÁSTICA, FORNECIDO E INSTALADO EM RAMAL DE ENCAMINHAMENTO. AF_12/2014</t>
  </si>
  <si>
    <t xml:space="preserve"> 89599 </t>
  </si>
  <si>
    <t>LUVA SIMPLES, PVC, SERIE R, ÁGUA PLUVIAL, DN 75 MM, JUNTA ELÁSTICA, FORNECIDO E INSTALADO EM CONDUTORES VERTICAIS DE ÁGUAS PLUVIAIS. AF_12/2014</t>
  </si>
  <si>
    <t xml:space="preserve"> 89685 </t>
  </si>
  <si>
    <t>JUNÇÃO SIMPLES, PVC, SERIE R, ÁGUA PLUVIAL, DN 75 X 75 MM, JUNTA ELÁSTICA, FORNECIDO E INSTALADO EM CONDUTORES VERTICAIS DE ÁGUAS PLUVIAIS. AF_12/2014</t>
  </si>
  <si>
    <t xml:space="preserve"> 89687 </t>
  </si>
  <si>
    <t>TÊ, PVC, SERIE R, ÁGUA PLUVIAL, DN 75 X 75 MM, JUNTA ELÁSTICA, FORNECIDO E INSTALADO EM CONDUTORES VERTICAIS DE ÁGUAS PLUVIAIS. AF_12/2014</t>
  </si>
  <si>
    <t xml:space="preserve"> 89692 </t>
  </si>
  <si>
    <t>JUNÇÃO SIMPLES, PVC, SERIE R, ÁGUA PLUVIAL, DN 100 X 75 MM, JUNTA ELÁSTICA, FORNECIDO E INSTALADO EM CONDUTORES VERTICAIS DE ÁGUAS PLUVIAIS. AF_12/2014</t>
  </si>
  <si>
    <t xml:space="preserve"> 90454 </t>
  </si>
  <si>
    <t>PASSANTE TIPO TUBO DE DIÂMETRO MAIORES QUE 40 MM E MENORES OU IGUAIS A 75 MM, FIXADO EM LAJE. AF_05/2015</t>
  </si>
  <si>
    <t xml:space="preserve"> 90437 </t>
  </si>
  <si>
    <t>FURO EM ALVENARIA PARA DIÂMETROS MAIORES QUE 40 MM E MENORES OU IGUAIS A 75 MM. AF_05/2015</t>
  </si>
  <si>
    <t xml:space="preserve"> 91191 </t>
  </si>
  <si>
    <t>CHUMBAMENTO PONTUAL EM PASSAGEM DE TUBO COM DIÂMETROS ENTRE 40 MM E 75 MM. AF_05/2015</t>
  </si>
  <si>
    <t xml:space="preserve"> 4.3 </t>
  </si>
  <si>
    <t xml:space="preserve"> 4.3.1 </t>
  </si>
  <si>
    <t xml:space="preserve"> 4.3.1.1 </t>
  </si>
  <si>
    <t xml:space="preserve"> 103322 </t>
  </si>
  <si>
    <t xml:space="preserve"> 87292 </t>
  </si>
  <si>
    <t>ARGAMASSA TRAÇO 1:2:8 (EM VOLUME DE CIMENTO, CAL E AREIA MÉDIA ÚMIDA) PARA EMBOÇO/MASSA ÚNICA/ASSENTAMENTO DE ALVENARIA DE VEDAÇÃO, PREPARO MECÂNICO COM BETONEIRA 400 L. AF_08/2019</t>
  </si>
  <si>
    <t xml:space="preserve"> 00037592 </t>
  </si>
  <si>
    <t>BLOCO CERAMICO / TIJOLO VAZADO PARA ALVENARIA DE VEDACAO, FUROS NA VERTICAL,, 9 X 19 X 39 CM (NBR 15270)</t>
  </si>
  <si>
    <t xml:space="preserve"> 00037395 </t>
  </si>
  <si>
    <t>PINO DE ACO COM FURO, HASTE = 27 MM (ACAO DIRETA)</t>
  </si>
  <si>
    <t xml:space="preserve"> 00034557 </t>
  </si>
  <si>
    <t>TELA DE ACO SOLDADA GALVANIZADA/ZINCADA PARA ALVENARIA, FIO D = *1,20 A 1,70* MM, MALHA 15 X 15 MM, (C X L) *50 X 7,5* CM</t>
  </si>
  <si>
    <t xml:space="preserve"> 4.3.2 </t>
  </si>
  <si>
    <t xml:space="preserve"> 4.3.2.1 </t>
  </si>
  <si>
    <t xml:space="preserve"> 87879 </t>
  </si>
  <si>
    <t xml:space="preserve"> 87313 </t>
  </si>
  <si>
    <t>ARGAMASSA TRAÇO 1:3 (EM VOLUME DE CIMENTO E AREIA GROSSA ÚMIDA) PARA CHAPISCO CONVENCIONAL, PREPARO MECÂNICO COM BETONEIRA 400 L. AF_08/2019</t>
  </si>
  <si>
    <t xml:space="preserve"> 4.3.2.2 </t>
  </si>
  <si>
    <t xml:space="preserve"> 87794 </t>
  </si>
  <si>
    <t xml:space="preserve"> 87369 </t>
  </si>
  <si>
    <t>ARGAMASSA TRAÇO 1:2:8 (EM VOLUME DE CIMENTO, CAL E AREIA MÉDIA ÚMIDA) PARA EMBOÇO/MASSA ÚNICA/ASSENTAMENTO DE ALVENARIA DE VEDAÇÃO, PREPARO MANUAL. AF_08/2019</t>
  </si>
  <si>
    <t xml:space="preserve"> 00037411 </t>
  </si>
  <si>
    <t>TELA DE ACO SOLDADA GALVANIZADA/ZINCADA PARA ALVENARIA, FIO D = *1,24 MM, MALHA 25 X 25 MM</t>
  </si>
  <si>
    <t xml:space="preserve"> 4.3.2.3 </t>
  </si>
  <si>
    <t xml:space="preserve"> REV-AZU-011 </t>
  </si>
  <si>
    <t>58,20</t>
  </si>
  <si>
    <t xml:space="preserve"> REV-AZU-015 </t>
  </si>
  <si>
    <t>APLICAÇÃO DE REJUNTE CIMENTÍCIO COLORIDO INDUSTRIALIZADO PARA REVESTIMENTOS DE PAREDE/PISO COM JUNTAS DE ATÉ 3MM DE ESPESSURA</t>
  </si>
  <si>
    <t>4,81</t>
  </si>
  <si>
    <t xml:space="preserve"> MAO-OFC-005 </t>
  </si>
  <si>
    <t>AZULEJISTA COM ENCARGOS COMPLEMENTARES</t>
  </si>
  <si>
    <t>24,54</t>
  </si>
  <si>
    <t>14,99</t>
  </si>
  <si>
    <t>5,13</t>
  </si>
  <si>
    <t xml:space="preserve"> MATED- 12351 </t>
  </si>
  <si>
    <t>ARGAMASSA COLANTE ( TIPO: AC-I)</t>
  </si>
  <si>
    <t>0,54</t>
  </si>
  <si>
    <t>2,55</t>
  </si>
  <si>
    <t xml:space="preserve"> MATED- 11415 </t>
  </si>
  <si>
    <t>AZULEJO ESMALTADO LISO (COMPRIMENTO: 20CM| LARGURA: 20CM)</t>
  </si>
  <si>
    <t>29,26</t>
  </si>
  <si>
    <t>30,72</t>
  </si>
  <si>
    <t xml:space="preserve"> 4.3.3 </t>
  </si>
  <si>
    <t xml:space="preserve"> 4.3.3.1 </t>
  </si>
  <si>
    <t xml:space="preserve"> 88485 </t>
  </si>
  <si>
    <t xml:space="preserve"> 88310 </t>
  </si>
  <si>
    <t xml:space="preserve"> 00006085 </t>
  </si>
  <si>
    <t>SELADOR ACRILICO OPACO PREMIUM INTERIOR/EXTERIOR</t>
  </si>
  <si>
    <t>L</t>
  </si>
  <si>
    <t xml:space="preserve"> 4.3.3.2 </t>
  </si>
  <si>
    <t xml:space="preserve"> 88489 </t>
  </si>
  <si>
    <t xml:space="preserve"> 00007356 </t>
  </si>
  <si>
    <t>TINTA LATEX ACRILICA PREMIUM, COR BRANCO FOSCO</t>
  </si>
  <si>
    <t xml:space="preserve"> 4.3.3.3 </t>
  </si>
  <si>
    <t xml:space="preserve"> 100719 </t>
  </si>
  <si>
    <t xml:space="preserve"> 00005318 </t>
  </si>
  <si>
    <t>DILUENTE AGUARRAS</t>
  </si>
  <si>
    <t xml:space="preserve"> 00007307 </t>
  </si>
  <si>
    <t>FUNDO ANTICORROSIVO PARA METAIS FERROSOS (ZARCAO)</t>
  </si>
  <si>
    <t xml:space="preserve"> 4.3.3.4 </t>
  </si>
  <si>
    <t xml:space="preserve"> 100761 </t>
  </si>
  <si>
    <t xml:space="preserve"> 00007288 </t>
  </si>
  <si>
    <t>TINTA ESMALTE SINTETICO PREMIUM FOSCO</t>
  </si>
  <si>
    <t xml:space="preserve"> 4.3.4 </t>
  </si>
  <si>
    <t xml:space="preserve"> 4.3.4.1 </t>
  </si>
  <si>
    <t xml:space="preserve"> 88423 </t>
  </si>
  <si>
    <t xml:space="preserve"> 00038877 </t>
  </si>
  <si>
    <t>MASSA PREMIUM PARA TEXTURA LISA DE BASE ACRILICA, USO INTERNO E EXTERNO</t>
  </si>
  <si>
    <t xml:space="preserve"> 4.3.5 </t>
  </si>
  <si>
    <t xml:space="preserve"> 4.3.5.1 </t>
  </si>
  <si>
    <t xml:space="preserve"> 87251 </t>
  </si>
  <si>
    <t xml:space="preserve"> 88256 </t>
  </si>
  <si>
    <t>AZULEJISTA OU LADRILHISTA COM ENCARGOS COMPLEMENTARES</t>
  </si>
  <si>
    <t xml:space="preserve"> 00001381 </t>
  </si>
  <si>
    <t>ARGAMASSA COLANTE AC I PARA CERAMICAS</t>
  </si>
  <si>
    <t xml:space="preserve"> 00001287 </t>
  </si>
  <si>
    <t>PISO EM CERAMICA ESMALTADA EXTRA, PEI MAIOR OU IGUAL A 4, FORMATO MENOR OU IGUAL A 2025 CM2</t>
  </si>
  <si>
    <t xml:space="preserve"> 00034357 </t>
  </si>
  <si>
    <t>REJUNTE CIMENTICIO, QUALQUER COR</t>
  </si>
  <si>
    <t xml:space="preserve"> 4.3.5.2 </t>
  </si>
  <si>
    <t xml:space="preserve"> 98680 </t>
  </si>
  <si>
    <t>PISO CIMENTADO, TRAÇO 1:3 (CIMENTO E AREIA), ACABAMENTO LISO, ESPESSURA 3,0 CM, PREPARO MECÂNICO DA ARGAMASSA.</t>
  </si>
  <si>
    <t xml:space="preserve"> 87298 </t>
  </si>
  <si>
    <t>ARGAMASSA TRAÇO 1:3 (EM VOLUME DE CIMENTO E AREIA MÉDIA ÚMIDA) PARA CONTRAPISO, PREPARO MECÂNICO COM BETONEIRA 400 L. AF_08/2019</t>
  </si>
  <si>
    <t xml:space="preserve"> 00001379 </t>
  </si>
  <si>
    <t>CIMENTO PORTLAND COMPOSTO CP II-32</t>
  </si>
  <si>
    <t xml:space="preserve"> 00003671 </t>
  </si>
  <si>
    <t>JUNTA PLASTICA DE DILATACAO PARA PISOS, COR CINZA, 17 X 3 MM (ALTURA X ESPESSURA)</t>
  </si>
  <si>
    <t xml:space="preserve"> 4.3.5.3 </t>
  </si>
  <si>
    <t xml:space="preserve"> ROD-ARD-005 </t>
  </si>
  <si>
    <t>8,91</t>
  </si>
  <si>
    <t>1,26</t>
  </si>
  <si>
    <t>3,46</t>
  </si>
  <si>
    <t xml:space="preserve"> MATED- 12352 </t>
  </si>
  <si>
    <t>ARGAMASSA COLANTE ( TIPO: AC-III)</t>
  </si>
  <si>
    <t>0,42</t>
  </si>
  <si>
    <t xml:space="preserve"> MATED- 12756 </t>
  </si>
  <si>
    <t>RODAPÉ DE ARDÓSIA (COR : NATURAL/ESPESSURA: 7MM/ALTURA: 5CM)</t>
  </si>
  <si>
    <t>3,35</t>
  </si>
  <si>
    <t>3,51</t>
  </si>
  <si>
    <t xml:space="preserve"> 4.3.6 </t>
  </si>
  <si>
    <t xml:space="preserve"> 4.3.6.1 </t>
  </si>
  <si>
    <t xml:space="preserve"> SER-POR-050 </t>
  </si>
  <si>
    <t>PORTÃO DE FERRO PADRÃO, EM CHAPA (TIPO LAMBRI), COLOCADO COM CADEADO (P01 E P02)</t>
  </si>
  <si>
    <t>278,35</t>
  </si>
  <si>
    <t xml:space="preserve"> SER-COL-015 </t>
  </si>
  <si>
    <t>ASSENTAMENTO DE GRADIS E PORTÕES</t>
  </si>
  <si>
    <t>75,35</t>
  </si>
  <si>
    <t xml:space="preserve"> MATED- 12660 </t>
  </si>
  <si>
    <t>PORTÃO DE FERRO PADRÃO, EM CHAPA (TIPO LAMBRI )</t>
  </si>
  <si>
    <t>203,00</t>
  </si>
  <si>
    <t xml:space="preserve"> 4.3.6.2 </t>
  </si>
  <si>
    <t xml:space="preserve"> SEE-ALA-005 </t>
  </si>
  <si>
    <t>795,13</t>
  </si>
  <si>
    <t xml:space="preserve"> SEE-FUN-010 </t>
  </si>
  <si>
    <t>CINTA ARMADA EM CONCRETO 20 MPa, INCLUSIVE LASTRO 5 CM EM CONCRETO MAGRO 9 MPa, FORMAS LATERAIS E DESFORMA.</t>
  </si>
  <si>
    <t>3.253,22</t>
  </si>
  <si>
    <t>325,32</t>
  </si>
  <si>
    <t>40,34</t>
  </si>
  <si>
    <t>25,69</t>
  </si>
  <si>
    <t xml:space="preserve"> MATED- 11324 </t>
  </si>
  <si>
    <t>ARAME GALVANIZADO ( BITOLA: 10BWG|DIÂMETRO DO FIO: 3,40MM|MASSA LINEAR: 0,0713KG/M)</t>
  </si>
  <si>
    <t>92,23</t>
  </si>
  <si>
    <t>309,89</t>
  </si>
  <si>
    <t xml:space="preserve"> MATED- 11325 </t>
  </si>
  <si>
    <t>ARAME GALVANIZADO ( BITOLA: 14BWG|DIÂMETRO DO FIO: 2,10MM|MASSA LINEAR: 0,0272KG/M)</t>
  </si>
  <si>
    <t>16,05</t>
  </si>
  <si>
    <t>3,21</t>
  </si>
  <si>
    <t xml:space="preserve"> MATED- 11266 </t>
  </si>
  <si>
    <t>TELA DE ARAME GALVANIZADO PARA ALAMBRADO (DIMENSÕES DA TRAMA: 2X2"| TIPO DA MALHA: LOSANGULAR| BITOLA DO FIO: BWG 14 (2, 10MM))</t>
  </si>
  <si>
    <t>26,53</t>
  </si>
  <si>
    <t>89,14</t>
  </si>
  <si>
    <t xml:space="preserve"> MATED- 11579 </t>
  </si>
  <si>
    <t>TUBO DE AÇO CARBONO GALVANIZADO COM COSTURA (CLASSE: MÉDIA| DN: 50MM(2")|ESPESSURA: 3,75MM|PESO: 5,23KG/M)</t>
  </si>
  <si>
    <t>17,55</t>
  </si>
  <si>
    <t>1,54</t>
  </si>
  <si>
    <t xml:space="preserve"> 4.3.6.3 </t>
  </si>
  <si>
    <t xml:space="preserve"> SER-CAI-006 </t>
  </si>
  <si>
    <t>241,72</t>
  </si>
  <si>
    <t xml:space="preserve"> SER-COL-005 </t>
  </si>
  <si>
    <t>ASSENTAMENTO DE JANELAS METÁLICAS BASCULANTE OU FIXA</t>
  </si>
  <si>
    <t>85,37</t>
  </si>
  <si>
    <t xml:space="preserve"> MATED- 12465 </t>
  </si>
  <si>
    <t>CAIXILHO FIXO DE FERRO COM TELA CORRUGADA # 15 mm FIO 12</t>
  </si>
  <si>
    <t>156,35</t>
  </si>
  <si>
    <t xml:space="preserve"> SER-POR-076 </t>
  </si>
  <si>
    <t>PORTÃO EM TUBO GALVANIZADO 1 1/2" COM TELA FIO 12 # 1/2" E CADEADO (P01)</t>
  </si>
  <si>
    <t>362,35</t>
  </si>
  <si>
    <t xml:space="preserve"> MATED- 11981 </t>
  </si>
  <si>
    <t>PORTÃO EM TUBO GALVANIZADO 1 1/2" COM TELA FIO 12 # 1/2" E CADEADO</t>
  </si>
  <si>
    <t>287,00</t>
  </si>
  <si>
    <t xml:space="preserve"> 4.3.7 </t>
  </si>
  <si>
    <t xml:space="preserve"> 4.3.7.1 </t>
  </si>
  <si>
    <t xml:space="preserve"> BAN-ARD-005 </t>
  </si>
  <si>
    <t>213,46</t>
  </si>
  <si>
    <t xml:space="preserve"> AUX-ARG-010 </t>
  </si>
  <si>
    <t>ARGAMASSA, TRAÇO 1:3 (CIMENTO E AREIA), PREPARO MECÂNICO</t>
  </si>
  <si>
    <t>33,62</t>
  </si>
  <si>
    <t>46,20</t>
  </si>
  <si>
    <t>481,18</t>
  </si>
  <si>
    <t xml:space="preserve"> MATED- 12793 </t>
  </si>
  <si>
    <t>BANCADA EM ARDÓSIA ( COR: NATURAL/TIPO: POLIDO/ESPESSURA: 3CM)</t>
  </si>
  <si>
    <t>7,77</t>
  </si>
  <si>
    <t>8,85</t>
  </si>
  <si>
    <t xml:space="preserve"> MATED- 12792 </t>
  </si>
  <si>
    <t>TESTEIRA EM ARDÓSIA ( COR: NATURAL/TIPO: POLIDO/ESPESSURA: 3CM)</t>
  </si>
  <si>
    <t>2,74</t>
  </si>
  <si>
    <t>7,86</t>
  </si>
  <si>
    <t xml:space="preserve"> MATED- 12746 </t>
  </si>
  <si>
    <t>TUBO EM METALON GALVANIZADO (FORMATO: RETANGULAR|SEÇÃO: 30X20MM|ESPESSURA: 1, 25MM|MASSA LINEAR: 0, 90KG/M)</t>
  </si>
  <si>
    <t>112,12</t>
  </si>
  <si>
    <t xml:space="preserve"> 4.3.7.2 </t>
  </si>
  <si>
    <t xml:space="preserve"> SEE-EST-040 </t>
  </si>
  <si>
    <t>169,33</t>
  </si>
  <si>
    <t xml:space="preserve"> ARM-AÇO-020 </t>
  </si>
  <si>
    <t>CORTE, DOBRA E MONTAGEM DE AÇO CA-50/60</t>
  </si>
  <si>
    <t>59,75</t>
  </si>
  <si>
    <t xml:space="preserve"> EST-FOR-015 </t>
  </si>
  <si>
    <t>FORMA E DESFORMA DE COMPENSADO RESINADO, ESP. 12MM, REAPROVEITAMENTO (3X), EXCLUSIVE ESCORAMENTO</t>
  </si>
  <si>
    <t>12,52</t>
  </si>
  <si>
    <t>60,09</t>
  </si>
  <si>
    <t xml:space="preserve"> EST-CON-030 </t>
  </si>
  <si>
    <t>FORNECIMENTO DE CONCRETO ESTRUTURAL, PREPARADO EM OBRA, COM FCK 20 MPA, INCLUSIVE LANÇAMENTO, ADENSAMENTO E ACABAMENTO</t>
  </si>
  <si>
    <t>563,36</t>
  </si>
  <si>
    <t>45,06</t>
  </si>
  <si>
    <t xml:space="preserve"> ED-50251 </t>
  </si>
  <si>
    <t>VIGAS PRIMÁRIAS ( LONGARINAS) PARA CIMBRAMENTO EM LAJE PRÉ MOLDADA, INCLUSIVE MONTAGEM E DESMONTAGEM, REAPROVEITAMENTO (6X), EXCLUSIVE ESCORAMENTO</t>
  </si>
  <si>
    <t>4,43</t>
  </si>
  <si>
    <t xml:space="preserve"> 4.4 </t>
  </si>
  <si>
    <t xml:space="preserve"> 4.4.1 </t>
  </si>
  <si>
    <t xml:space="preserve"> 98504 </t>
  </si>
  <si>
    <t xml:space="preserve"> 88441 </t>
  </si>
  <si>
    <t>JARDINEIRO COM ENCARGOS COMPLEMENTARES</t>
  </si>
  <si>
    <t xml:space="preserve"> 00003324 </t>
  </si>
  <si>
    <t>GRAMA BATATAIS EM PLACAS, SEM PLANTIO</t>
  </si>
  <si>
    <t xml:space="preserve"> 4.4.2 </t>
  </si>
  <si>
    <t xml:space="preserve"> 98520 </t>
  </si>
  <si>
    <t xml:space="preserve"> 00003123 </t>
  </si>
  <si>
    <t>FERTILIZANTE NPK - 4: 14: 8</t>
  </si>
  <si>
    <t xml:space="preserve"> 00038125 </t>
  </si>
  <si>
    <t>FERTILIZANTE ORGANICO COMPOSTO, CLASSE A</t>
  </si>
  <si>
    <t xml:space="preserve"> 4.4.3 </t>
  </si>
  <si>
    <t xml:space="preserve"> 98510 </t>
  </si>
  <si>
    <t xml:space="preserve"> 00000358 </t>
  </si>
  <si>
    <t>MUDA DE ARVORE ORNAMENTAL, OITI/AROEIRA SALSA/ANGICO/IPE/JACARANDA OU EQUIVALENTE  DA REGIAO, H= *1* M</t>
  </si>
  <si>
    <t xml:space="preserve"> 4.5 </t>
  </si>
  <si>
    <t xml:space="preserve"> 4.5.1 </t>
  </si>
  <si>
    <t xml:space="preserve"> INC-EXT-016 </t>
  </si>
  <si>
    <t>165,32</t>
  </si>
  <si>
    <t xml:space="preserve"> MAO-AJD-020 </t>
  </si>
  <si>
    <t>AJUDANTE DE BOMBEIRO/ENCANADOR COM ENCARGOS COMPLEMENTARES</t>
  </si>
  <si>
    <t>22,49</t>
  </si>
  <si>
    <t>21,36</t>
  </si>
  <si>
    <t xml:space="preserve"> MAO-OFC-040 </t>
  </si>
  <si>
    <t>BOMBEIRO/ENCANADOR COM ENCARGOS COMPLEMENTARES</t>
  </si>
  <si>
    <t>17,18</t>
  </si>
  <si>
    <t>16,32</t>
  </si>
  <si>
    <t xml:space="preserve"> MATED- 11337 </t>
  </si>
  <si>
    <t>BUCHA DE NYLON COM PARAFUSO AUTO ATARRAXANTE CABEÇA PANELA, FENDA SIMPLES ( COMPRIMENTO: 50MM / DIÂMETRO NOMINAL DO PARAFUSO: 4,8MM / DIÂMETRO NOMINAL DA BUCHA: 8MM)</t>
  </si>
  <si>
    <t xml:space="preserve"> MATED- 12539 </t>
  </si>
  <si>
    <t>EXTINTOR DE PÓ QUIMICO (CAPACIDADE EXTINTORA: 2-A:20-B:C|AGENTE: FOSFATO MONOAMÔNICO| CARGA: 4KG)</t>
  </si>
  <si>
    <t>127,20</t>
  </si>
  <si>
    <t xml:space="preserve"> 4.5.2 </t>
  </si>
  <si>
    <t xml:space="preserve"> INC-PLA-040 </t>
  </si>
  <si>
    <t>31,52</t>
  </si>
  <si>
    <t>11,55</t>
  </si>
  <si>
    <t xml:space="preserve"> MATED- 12924 </t>
  </si>
  <si>
    <t>PLACA FOTOLUMINESCENTE (TIPO : A2|FORMATO: TRIANGULAR|DIMENSÃO: 300MM|INFORMAÇÃO: PICTOGRAMA SEM TEXTO - CUIDADO RISCO DE INCÊNDIO)</t>
  </si>
  <si>
    <t>19,97</t>
  </si>
  <si>
    <t xml:space="preserve"> 4.6 </t>
  </si>
  <si>
    <t xml:space="preserve"> 4.6.1 </t>
  </si>
  <si>
    <t xml:space="preserve"> 4.6.1.1 </t>
  </si>
  <si>
    <t xml:space="preserve"> 86942 </t>
  </si>
  <si>
    <t xml:space="preserve"> 86882 </t>
  </si>
  <si>
    <t>SIFÃO DO TIPO GARRAFA/COPO EM PVC 1.1/4  X 1.1/2 - FORNECIMENTO E INSTALAÇÃO. AF_01/2020</t>
  </si>
  <si>
    <t xml:space="preserve"> 86884 </t>
  </si>
  <si>
    <t>ENGATE FLEXÍVEL EM PLÁSTICO BRANCO, 1/2 X 30CM - FORNECIMENTO E INSTALAÇÃO. AF_01/2020</t>
  </si>
  <si>
    <t xml:space="preserve"> 86879 </t>
  </si>
  <si>
    <t>VÁLVULA EM PLÁSTICO 1 PARA PIA, TANQUE OU LAVATÓRIO, COM OU SEM LADRÃO - FORNECIMENTO E INSTALAÇÃO. AF_01/2020</t>
  </si>
  <si>
    <t xml:space="preserve"> 86906 </t>
  </si>
  <si>
    <t>TORNEIRA CROMADA DE MESA, 1/2 OU 3/4, PARA LAVATÓRIO, PADRÃO POPULAR - FORNECIMENTO E INSTALAÇÃO. AF_01/2020</t>
  </si>
  <si>
    <t xml:space="preserve"> 86904 </t>
  </si>
  <si>
    <t>LAVATÓRIO LOUÇA BRANCA SUSPENSO, 29,5 X 39CM OU EQUIVALENTE, PADRÃO POPULAR - FORNECIMENTO E INSTALAÇÃO. AF_01/2020</t>
  </si>
  <si>
    <t xml:space="preserve"> 4.6.1.2 </t>
  </si>
  <si>
    <t xml:space="preserve"> 86913 </t>
  </si>
  <si>
    <t xml:space="preserve"> 88267 </t>
  </si>
  <si>
    <t>ENCANADOR OU BOMBEIRO HIDRÁULICO COM ENCARGOS COMPLEMENTARES</t>
  </si>
  <si>
    <t xml:space="preserve"> 00003146 </t>
  </si>
  <si>
    <t>FITA VEDA ROSCA EM ROLOS DE 18 MM X 10 M (L X C)</t>
  </si>
  <si>
    <t xml:space="preserve"> 00007604 </t>
  </si>
  <si>
    <t>TORNEIRA METALICA CROMADA PARA TANQUE / JARDIM, SEM BICO , CANO LONGO, DE PAREDE, PADRAO POPULAR / USO GERAL, 1/2 " OU 3/4 " (REF 1126)</t>
  </si>
  <si>
    <t xml:space="preserve"> 4.6.1.3 </t>
  </si>
  <si>
    <t xml:space="preserve"> COMP-ABRIGO-01 </t>
  </si>
  <si>
    <t xml:space="preserve"> PM30 </t>
  </si>
  <si>
    <t>CHUVEIRO LAVA-OLHOS MANUAL EM FERRO GALVANIZADO</t>
  </si>
  <si>
    <t xml:space="preserve"> 4.6.1.4 </t>
  </si>
  <si>
    <t xml:space="preserve"> 89712 </t>
  </si>
  <si>
    <t xml:space="preserve"> 88248 </t>
  </si>
  <si>
    <t>AUXILIAR DE ENCANADOR OU BOMBEIRO HIDRÁULICO COM ENCARGOS COMPLEMENTARES</t>
  </si>
  <si>
    <t xml:space="preserve"> 00000122 </t>
  </si>
  <si>
    <t>ADESIVO PLASTICO PARA PVC, FRASCO COM *850* GR</t>
  </si>
  <si>
    <t xml:space="preserve"> 00038383 </t>
  </si>
  <si>
    <t>LIXA D'AGUA EM FOLHA, GRAO 100</t>
  </si>
  <si>
    <t xml:space="preserve"> 00020083 </t>
  </si>
  <si>
    <t>SOLUCAO PREPARADORA / LIMPADORA PARA PVC, FRASCO COM 1000 CM3</t>
  </si>
  <si>
    <t xml:space="preserve"> 00009838 </t>
  </si>
  <si>
    <t>TUBO PVC SERIE NORMAL, DN 50 MM, PARA ESGOTO PREDIAL (NBR 5688)</t>
  </si>
  <si>
    <t xml:space="preserve"> 4.6.1.5 </t>
  </si>
  <si>
    <t xml:space="preserve"> 89711 </t>
  </si>
  <si>
    <t xml:space="preserve"> 00009835 </t>
  </si>
  <si>
    <t>TUBO PVC  SERIE NORMAL, DN 40 MM, PARA ESGOTO  PREDIAL (NBR 5688)</t>
  </si>
  <si>
    <t xml:space="preserve"> 4.6.1.6 </t>
  </si>
  <si>
    <t xml:space="preserve"> HID-CXS-110 </t>
  </si>
  <si>
    <t>709,25</t>
  </si>
  <si>
    <t xml:space="preserve"> ALV-TIJ-005 </t>
  </si>
  <si>
    <t>ALVENARIA DE VEDAÇÃO COM TIJOLO MACIÇO REQUEIMADO, ESP. 10CM, PARA REVESTIMENTO, INCLUSIVE ARGAMASSA PARA ASSENTAMENTO</t>
  </si>
  <si>
    <t>19,33</t>
  </si>
  <si>
    <t>23,38</t>
  </si>
  <si>
    <t xml:space="preserve"> TER-API-005 </t>
  </si>
  <si>
    <t>APILOAMENTO DO FUNDO DE VALAS COM SOQUETE</t>
  </si>
  <si>
    <t>57,15</t>
  </si>
  <si>
    <t>80,90</t>
  </si>
  <si>
    <t xml:space="preserve"> AUX-CON-025 </t>
  </si>
  <si>
    <t>CONCRETO NÃO ESTRUTURAL, PREPARADO EM OBRA COM BETONEIRA, CONTROLE "B", COM FCK 13,5 MPA, BRITA Nº (1 E 2), CONSISTÊNCIA PARA VIBRAÇÃO (FABRICAÇÃO)</t>
  </si>
  <si>
    <t>14,04</t>
  </si>
  <si>
    <t>51,32</t>
  </si>
  <si>
    <t>16,42</t>
  </si>
  <si>
    <t xml:space="preserve"> TER-ESC-035 </t>
  </si>
  <si>
    <t>ESCAVAÇÃO MANUAL DE VALA COM PROFUNDIDADE MENOR OU IGUAL A 1,5M</t>
  </si>
  <si>
    <t>26,21</t>
  </si>
  <si>
    <t xml:space="preserve"> FUN-FOR-005 </t>
  </si>
  <si>
    <t>FORMA E DESFORMA DE TÁBUA E SARRAFO, REAPROVEITAMENTO (3X) (FUNDAÇÃO)</t>
  </si>
  <si>
    <t>81,18</t>
  </si>
  <si>
    <t>292,24</t>
  </si>
  <si>
    <t xml:space="preserve"> TER-REA-005 </t>
  </si>
  <si>
    <t>REATERRO MANUAL DE VALA</t>
  </si>
  <si>
    <t>33,25</t>
  </si>
  <si>
    <t>127,68</t>
  </si>
  <si>
    <t xml:space="preserve"> REV-REB-010 </t>
  </si>
  <si>
    <t>REBOCO COM ARGAMASSA, TRAÇO 1:2:9 (CIMENTO, CAL E AREIA), COM ADITIVO IMPERMEABILIZANTE, ESP. 20MM, APLICAÇÃO MANUAL, PREPARO MECÂNICO</t>
  </si>
  <si>
    <t>30,30</t>
  </si>
  <si>
    <t>35,45</t>
  </si>
  <si>
    <t xml:space="preserve"> TRA-CAÇ-015 </t>
  </si>
  <si>
    <t>TRANSPORTE DE MATERIAL DEMOLIDO EM CAÇAMBA</t>
  </si>
  <si>
    <t>91,47</t>
  </si>
  <si>
    <t>16,89</t>
  </si>
  <si>
    <t xml:space="preserve"> AUX-LAN-005 </t>
  </si>
  <si>
    <t>TRANSPORTE, LANÇAMENTO E ADENSAMENTO E ACABAMENTO DE CONCRETO EM FUNDAÇÃO/RADIER</t>
  </si>
  <si>
    <t>411,73</t>
  </si>
  <si>
    <t>76,04</t>
  </si>
  <si>
    <t xml:space="preserve"> 4.6.1.7 </t>
  </si>
  <si>
    <t xml:space="preserve"> HID-RAL-011 </t>
  </si>
  <si>
    <t>22,78</t>
  </si>
  <si>
    <t>8,99</t>
  </si>
  <si>
    <t>6,87</t>
  </si>
  <si>
    <t xml:space="preserve"> MATED- 11613 </t>
  </si>
  <si>
    <t>ADESIVO PLÁSTICO ( APLICAÇÃO: COLAGEM DE TUBOS E CONEXÕES EM PVC RÍGIDO[ÁGUA FRIA]| PINCEL APLICADOR: INCLUSO)</t>
  </si>
  <si>
    <t>59,19</t>
  </si>
  <si>
    <t>0,59</t>
  </si>
  <si>
    <t xml:space="preserve"> MATED- 11721 </t>
  </si>
  <si>
    <t>RALO SIFONADO PVC CÔNICO 100 X 70 X 40 MM COM GRELHA REDONDA</t>
  </si>
  <si>
    <t>29,93</t>
  </si>
  <si>
    <t>0,08</t>
  </si>
  <si>
    <t xml:space="preserve"> MATED- 11589 </t>
  </si>
  <si>
    <t>SOLUÇÃO LIMPADORA PARA PVC RÍGIDO</t>
  </si>
  <si>
    <t>6,25</t>
  </si>
  <si>
    <t xml:space="preserve"> 4.6.1.8 </t>
  </si>
  <si>
    <t xml:space="preserve"> HID-MIT-005 </t>
  </si>
  <si>
    <t>MITRA PVC RÍGIDO (TERMINAL DE VENTILAÇÃO TIPO) 75 MM</t>
  </si>
  <si>
    <t>7,09</t>
  </si>
  <si>
    <t>1,34</t>
  </si>
  <si>
    <t>1,03</t>
  </si>
  <si>
    <t xml:space="preserve"> MATED- 13014 </t>
  </si>
  <si>
    <t>MITRA PVC RÍGIDO ( TERMINAL DE VENTILAÇÃO  TIPO) 75 MM</t>
  </si>
  <si>
    <t>4,72</t>
  </si>
  <si>
    <t xml:space="preserve"> 4.6.1.9 </t>
  </si>
  <si>
    <t xml:space="preserve"> 89707 </t>
  </si>
  <si>
    <t xml:space="preserve"> 00000296 </t>
  </si>
  <si>
    <t>ANEL BORRACHA PARA TUBO ESGOTO PREDIAL, DN 50 MM (NBR 5688)</t>
  </si>
  <si>
    <t xml:space="preserve"> 00005103 </t>
  </si>
  <si>
    <t>CAIXA SIFONADA PVC, 100 X 100 X 50 MM, COM GRELHA REDONDA, BRANCA</t>
  </si>
  <si>
    <t xml:space="preserve"> 00020078 </t>
  </si>
  <si>
    <t>PASTA LUBRIFICANTE PARA TUBOS E CONEXOES COM JUNTA ELASTICA, EMBALAGEM DE *400* GR (USO EM PVC, ACO, POLIETILENO E OUTROS)</t>
  </si>
  <si>
    <t xml:space="preserve"> 4.6.1.10 </t>
  </si>
  <si>
    <t xml:space="preserve"> 103001 </t>
  </si>
  <si>
    <t xml:space="preserve"> 88629 </t>
  </si>
  <si>
    <t>ARGAMASSA TRAÇO 1:3 (EM VOLUME DE CIMENTO E AREIA MÉDIA ÚMIDA), PREPARO MANUAL. AF_08/2019</t>
  </si>
  <si>
    <t xml:space="preserve"> 00011235 </t>
  </si>
  <si>
    <t>GRELHA FOFO SIMPLES COM REQUADRO, CARGA MAXIMA 1,5 T, 150 X 1000 MM, E= *15* MM</t>
  </si>
  <si>
    <t xml:space="preserve"> 4.6.1.11 </t>
  </si>
  <si>
    <t xml:space="preserve"> HID-CXS-085 </t>
  </si>
  <si>
    <t>519,30</t>
  </si>
  <si>
    <t>55,43</t>
  </si>
  <si>
    <t>10,53</t>
  </si>
  <si>
    <t>14,36</t>
  </si>
  <si>
    <t>21,28</t>
  </si>
  <si>
    <t>207,82</t>
  </si>
  <si>
    <t>90,77</t>
  </si>
  <si>
    <t>23,80</t>
  </si>
  <si>
    <t>13,81</t>
  </si>
  <si>
    <t>62,17</t>
  </si>
  <si>
    <t xml:space="preserve"> 4.6.1.12 </t>
  </si>
  <si>
    <t xml:space="preserve"> HID-CXS-020 </t>
  </si>
  <si>
    <t>173,74</t>
  </si>
  <si>
    <t>15,40</t>
  </si>
  <si>
    <t>4,08</t>
  </si>
  <si>
    <t>9,47</t>
  </si>
  <si>
    <t>8,95</t>
  </si>
  <si>
    <t>6,56</t>
  </si>
  <si>
    <t>64,94</t>
  </si>
  <si>
    <t>26,60</t>
  </si>
  <si>
    <t>5,99</t>
  </si>
  <si>
    <t>25,98</t>
  </si>
  <si>
    <t>5,77</t>
  </si>
  <si>
    <t xml:space="preserve"> 4.6.1.13 </t>
  </si>
  <si>
    <t xml:space="preserve"> ACE-SAB-025 </t>
  </si>
  <si>
    <t>54,59</t>
  </si>
  <si>
    <t xml:space="preserve"> MATED- 12313 </t>
  </si>
  <si>
    <t>31,49</t>
  </si>
  <si>
    <t xml:space="preserve"> 4.6.1.14 </t>
  </si>
  <si>
    <t xml:space="preserve"> ACE-PAP-025 </t>
  </si>
  <si>
    <t>56,49</t>
  </si>
  <si>
    <t xml:space="preserve"> MATED- 12043 </t>
  </si>
  <si>
    <t>PAPELEIRA PARA PAPEL HIGIÊNICO ROLÃO ( MATERIAL: PLÁSTICO)</t>
  </si>
  <si>
    <t>33,39</t>
  </si>
  <si>
    <t xml:space="preserve"> 4.6.1.15 </t>
  </si>
  <si>
    <t xml:space="preserve"> 89784 </t>
  </si>
  <si>
    <t xml:space="preserve"> 00007097 </t>
  </si>
  <si>
    <t>TE SANITARIO, PVC, DN 50 X 50 MM, SERIE NORMAL, PARA ESGOTO PREDIAL</t>
  </si>
  <si>
    <t xml:space="preserve"> 4.6.1.16 </t>
  </si>
  <si>
    <t xml:space="preserve"> 89782 </t>
  </si>
  <si>
    <t xml:space="preserve"> 00007116 </t>
  </si>
  <si>
    <t>TE PVC SOLDAVEL, BBB, 90 GRAUS, DN 40 MM, PARA ESGOTO SECUNDARIO PREDIAL</t>
  </si>
  <si>
    <t xml:space="preserve"> 4.6.1.17 </t>
  </si>
  <si>
    <t xml:space="preserve"> 89726 </t>
  </si>
  <si>
    <t xml:space="preserve"> 00003516 </t>
  </si>
  <si>
    <t>JOELHO PVC, SOLDAVEL, BB, 45 GRAUS, DN 40 MM, PARA ESGOTO PREDIAL</t>
  </si>
  <si>
    <t xml:space="preserve"> 4.6.1.18 </t>
  </si>
  <si>
    <t xml:space="preserve"> 89732 </t>
  </si>
  <si>
    <t xml:space="preserve"> 00003518 </t>
  </si>
  <si>
    <t>JOELHO PVC, SOLDAVEL, PB, 45 GRAUS, DN 50 MM, PARA ESGOTO PREDIAL</t>
  </si>
  <si>
    <t xml:space="preserve"> 4.6.1.19 </t>
  </si>
  <si>
    <t xml:space="preserve"> 89724 </t>
  </si>
  <si>
    <t xml:space="preserve"> 00003517 </t>
  </si>
  <si>
    <t>JOELHO PVC, SOLDAVEL, BB, 90 GRAUS, DN 40 MM, PARA ESGOTO PREDIAL</t>
  </si>
  <si>
    <t xml:space="preserve"> 4.6.1.20 </t>
  </si>
  <si>
    <t xml:space="preserve"> 89801 </t>
  </si>
  <si>
    <t xml:space="preserve"> 00003526 </t>
  </si>
  <si>
    <t>JOELHO PVC, SOLDAVEL, PB, 90 GRAUS, DN 50 MM, PARA ESGOTO PREDIAL</t>
  </si>
  <si>
    <t xml:space="preserve"> 4.6.1.21 </t>
  </si>
  <si>
    <t xml:space="preserve"> 89827 </t>
  </si>
  <si>
    <t xml:space="preserve"> 00003662 </t>
  </si>
  <si>
    <t>JUNCAO SIMPLES, PVC, DN 50 X 50 MM, SERIE NORMAL PARA ESGOTO PREDIAL</t>
  </si>
  <si>
    <t xml:space="preserve"> 4.6.1.22 </t>
  </si>
  <si>
    <t xml:space="preserve"> 89752 </t>
  </si>
  <si>
    <t>LUVA SIMPLES, PVC, SERIE NORMAL, DN 40 MM, JUNTA SOLDÁVEL, FORNECIDO E INSTALADO</t>
  </si>
  <si>
    <t xml:space="preserve"> 00003897 </t>
  </si>
  <si>
    <t>LUVA SIMPLES, PVC, SOLDAVEL, DN 40 MM, SERIE NORMAL, PARA ESGOTO PREDIAL</t>
  </si>
  <si>
    <t xml:space="preserve"> 4.6.1.23 </t>
  </si>
  <si>
    <t xml:space="preserve"> 89813 </t>
  </si>
  <si>
    <t>LUVA SIMPLES, PVC, SERIE NORMAL, DN 50 MM, JUNTA SOLDÁVEL, FORNECIDO E INSTALADO</t>
  </si>
  <si>
    <t xml:space="preserve"> 00003875 </t>
  </si>
  <si>
    <t>LUVA SIMPLES, PVC, SOLDAVEL, DN 50 MM, SERIE NORMAL, PARA ESGOTO PREDIAL</t>
  </si>
  <si>
    <t xml:space="preserve"> 4.6.1.24 </t>
  </si>
  <si>
    <t xml:space="preserve"> 94492 </t>
  </si>
  <si>
    <t xml:space="preserve"> 00020080 </t>
  </si>
  <si>
    <t>ADESIVO PLASTICO PARA PVC, FRASCO COM 175 GR</t>
  </si>
  <si>
    <t xml:space="preserve"> 00011677 </t>
  </si>
  <si>
    <t>REGISTRO DE ESFERA, PVC, COM VOLANTE, VS, SOLDAVEL, DN 50 MM, COM CORPO DIVIDIDO</t>
  </si>
  <si>
    <t xml:space="preserve"> 4.6.1.25 </t>
  </si>
  <si>
    <t xml:space="preserve"> 89713 </t>
  </si>
  <si>
    <t xml:space="preserve"> 00009837 </t>
  </si>
  <si>
    <t>TUBO PVC SERIE NORMAL, DN 75 MM, PARA ESGOTO PREDIAL (NBR 5688)</t>
  </si>
  <si>
    <t xml:space="preserve"> 4.6.1.26 </t>
  </si>
  <si>
    <t xml:space="preserve"> 89774 </t>
  </si>
  <si>
    <t>LUVA SIMPLES, PVC, SERIE NORMAL, ESGOTO PREDIAL, DN 75 MM, JUNTA ELÁSTICA, FORNECIDO E INSTALADO EM RAMAL DE DESCARGA OU RAMAL DE ESGOTO SANITÁRIO. AF_12/2014</t>
  </si>
  <si>
    <t xml:space="preserve"> 00000297 </t>
  </si>
  <si>
    <t>ANEL BORRACHA PARA TUBO ESGOTO PREDIAL, DN 75 MM (NBR 5688)</t>
  </si>
  <si>
    <t xml:space="preserve"> 00003898 </t>
  </si>
  <si>
    <t>LUVA SIMPLES, PVC, SOLDAVEL, DN 75 MM, SERIE NORMAL, PARA ESGOTO PREDIAL</t>
  </si>
  <si>
    <t xml:space="preserve"> 4.6.1.27 </t>
  </si>
  <si>
    <t xml:space="preserve"> 89806 </t>
  </si>
  <si>
    <t xml:space="preserve"> 00003519 </t>
  </si>
  <si>
    <t>JOELHO PVC, SOLDAVEL, PB, 45 GRAUS, DN 75 MM, PARA ESGOTO PREDIAL</t>
  </si>
  <si>
    <t xml:space="preserve"> 4.6.2 </t>
  </si>
  <si>
    <t xml:space="preserve"> 4.6.2.1 </t>
  </si>
  <si>
    <t xml:space="preserve"> 90373 </t>
  </si>
  <si>
    <t xml:space="preserve"> 00020147 </t>
  </si>
  <si>
    <t>JOELHO PVC, SOLDAVEL, COM BUCHA DE LATAO, 90 GRAUS, 25 MM X 1/2", PARA AGUA FRIA PREDIAL</t>
  </si>
  <si>
    <t xml:space="preserve"> 4.6.2.2 </t>
  </si>
  <si>
    <t xml:space="preserve"> 89987 </t>
  </si>
  <si>
    <t xml:space="preserve"> 00003148 </t>
  </si>
  <si>
    <t>FITA VEDA ROSCA EM ROLOS DE 18 MM X 50 M (L X C)</t>
  </si>
  <si>
    <t xml:space="preserve"> 00006005 </t>
  </si>
  <si>
    <t>REGISTRO GAVETA COM ACABAMENTO E CANOPLA CROMADOS, SIMPLES, BITOLA 3/4 " (REF 1509)</t>
  </si>
  <si>
    <t xml:space="preserve"> 4.6.2.3 </t>
  </si>
  <si>
    <t xml:space="preserve"> 4.6.2.4 </t>
  </si>
  <si>
    <t xml:space="preserve"> 89362 </t>
  </si>
  <si>
    <t xml:space="preserve"> 00003529 </t>
  </si>
  <si>
    <t>JOELHO PVC, SOLDAVEL, 90 GRAUS, 25 MM, PARA AGUA FRIA PREDIAL</t>
  </si>
  <si>
    <t xml:space="preserve"> 4.6.2.5 </t>
  </si>
  <si>
    <t xml:space="preserve"> 89395 </t>
  </si>
  <si>
    <t xml:space="preserve"> 00007139 </t>
  </si>
  <si>
    <t>TE SOLDAVEL, PVC, 90 GRAUS, 25 MM, PARA AGUA FRIA PREDIAL (NBR 5648)</t>
  </si>
  <si>
    <t xml:space="preserve"> 4.6.2.6 </t>
  </si>
  <si>
    <t xml:space="preserve"> 89396 </t>
  </si>
  <si>
    <t xml:space="preserve"> 00007137 </t>
  </si>
  <si>
    <t>TE PVC, SOLDAVEL, COM BUCHA DE LATAO NA BOLSA CENTRAL, 90 GRAUS, 25 MM X 1/2", PARA AGUA FRIA PREDIAL</t>
  </si>
  <si>
    <t xml:space="preserve"> 4.6.2.7 </t>
  </si>
  <si>
    <t xml:space="preserve"> 89383 </t>
  </si>
  <si>
    <t xml:space="preserve"> 00000065 </t>
  </si>
  <si>
    <t>ADAPTADOR PVC SOLDAVEL CURTO COM BOLSA E ROSCA, 25 MM X 3/4", PARA AGUA FRIA</t>
  </si>
  <si>
    <t xml:space="preserve"> 4.6.2.8 </t>
  </si>
  <si>
    <t xml:space="preserve"> 89356 </t>
  </si>
  <si>
    <t xml:space="preserve"> 00009868 </t>
  </si>
  <si>
    <t>TUBO PVC, SOLDAVEL, DN 25 MM, AGUA FRIA (NBR-5648)</t>
  </si>
  <si>
    <t xml:space="preserve"> 4.6.2.9 </t>
  </si>
  <si>
    <t xml:space="preserve"> 89424 </t>
  </si>
  <si>
    <t>LUVA, PVC, SOLDÁVEL, DN 25MM, INSTALADO EM RAMAL DE DISTRIBUIÇÃO DE ÁGUA - FORNECIMENTO E INSTALAÇÃO. AF_12/2014</t>
  </si>
  <si>
    <t xml:space="preserve"> 00003904 </t>
  </si>
  <si>
    <t>LUVA PVC SOLDAVEL, 25 MM, PARA AGUA FRIA PREDIAL</t>
  </si>
  <si>
    <t xml:space="preserve"> 4.7 </t>
  </si>
  <si>
    <t xml:space="preserve"> 4.7.1 </t>
  </si>
  <si>
    <t xml:space="preserve"> 92979 </t>
  </si>
  <si>
    <t xml:space="preserve"> 88264 </t>
  </si>
  <si>
    <t>ELETRICISTA COM ENCARGOS COMPLEMENTARES</t>
  </si>
  <si>
    <t xml:space="preserve"> 88247 </t>
  </si>
  <si>
    <t>AUXILIAR DE ELETRICISTA COM ENCARGOS COMPLEMENTARES</t>
  </si>
  <si>
    <t xml:space="preserve"> 00000980 </t>
  </si>
  <si>
    <t>CABO DE COBRE, FLEXIVEL, CLASSE 4 OU 5, ISOLACAO EM PVC/A, ANTICHAMA BWF-B, 1 CONDUTOR, 450/750 V, SECAO NOMINAL 10 MM2</t>
  </si>
  <si>
    <t xml:space="preserve"> 00021127 </t>
  </si>
  <si>
    <t>FITA ISOLANTE ADESIVA ANTICHAMA, USO ATE 750 V, EM ROLO DE 19 MM X 5 M</t>
  </si>
  <si>
    <t xml:space="preserve"> 4.7.2 </t>
  </si>
  <si>
    <t xml:space="preserve"> 101878 </t>
  </si>
  <si>
    <t xml:space="preserve"> 00012038 </t>
  </si>
  <si>
    <t>QUADRO DE DISTRIBUICAO COM BARRAMENTO TRIFASICO, DE SOBREPOR, EM CHAPA DE ACO GALVANIZADO, PARA 18 DISJUNTORES DIN, 100 A</t>
  </si>
  <si>
    <t xml:space="preserve"> 4.7.3 </t>
  </si>
  <si>
    <t xml:space="preserve"> 93672 </t>
  </si>
  <si>
    <t xml:space="preserve"> 00034709 </t>
  </si>
  <si>
    <t>DISJUNTOR TIPO DIN/IEC, TRIPOLAR DE 10 ATE 50A</t>
  </si>
  <si>
    <t xml:space="preserve"> 00001574 </t>
  </si>
  <si>
    <t>TERMINAL A COMPRESSAO EM COBRE ESTANHADO PARA CABO 10 MM2, 1 FURO E 1 COMPRESSAO, PARA PARAFUSO DE FIXACAO M6</t>
  </si>
  <si>
    <t xml:space="preserve"> 4.7.4 </t>
  </si>
  <si>
    <t xml:space="preserve"> ELE-ELE-055 </t>
  </si>
  <si>
    <t>20,00</t>
  </si>
  <si>
    <t xml:space="preserve"> MAO-AJD-015 </t>
  </si>
  <si>
    <t>AJUDANTE DE ELETRICISTA COM ENCARGOS COMPLEMENTARES</t>
  </si>
  <si>
    <t>17,85</t>
  </si>
  <si>
    <t>5,35</t>
  </si>
  <si>
    <t xml:space="preserve"> MAO-OFC-035 </t>
  </si>
  <si>
    <t>23,36</t>
  </si>
  <si>
    <t>7,00</t>
  </si>
  <si>
    <t xml:space="preserve"> MATED- 12286 </t>
  </si>
  <si>
    <t>ELETRODUTO DE AÇO GALVANIZADO (TIPO: LEVE/ DIÂMETRO: 3/4")</t>
  </si>
  <si>
    <t>6,96</t>
  </si>
  <si>
    <t>7,65</t>
  </si>
  <si>
    <t xml:space="preserve"> 4.7.5 </t>
  </si>
  <si>
    <t xml:space="preserve"> 97667 </t>
  </si>
  <si>
    <t xml:space="preserve"> 00039246 </t>
  </si>
  <si>
    <t>ELETRODUTO/DUTO PEAD FLEXIVEL PAREDE SIMPLES, CORRUGACAO HELICOIDAL, COR PRETA, SEM ROSCA, DE 1 1/2", PARA CABEAMENTO SUBTERRANEO (NBR 15715)</t>
  </si>
  <si>
    <t xml:space="preserve"> 4.7.6 </t>
  </si>
  <si>
    <t xml:space="preserve"> ELE-CXS-211 </t>
  </si>
  <si>
    <t>607,29</t>
  </si>
  <si>
    <t>19,68</t>
  </si>
  <si>
    <t>7,39</t>
  </si>
  <si>
    <t xml:space="preserve"> FUN-LAS-010 </t>
  </si>
  <si>
    <t>LASTRO DE BRITA 2 OU 3 APILOADO MANUALMENTE</t>
  </si>
  <si>
    <t>135,00</t>
  </si>
  <si>
    <t>5,16</t>
  </si>
  <si>
    <t>10,43</t>
  </si>
  <si>
    <t>8,40</t>
  </si>
  <si>
    <t xml:space="preserve"> MATED- 13060 </t>
  </si>
  <si>
    <t>TAMPÃO E ARO ARTICULADOS (APLICAÇÃO :CAIXA PADRÃO CEMIG| TIPO: ZB|INSTALAÇÃO: GARAGEM|MATERIAL: FERRO FUNDIDO| COMPRIMENTO*: 700MM| LARGURA*: 590MM)* VALORES REFERENCIAIS APROXIMADOS</t>
  </si>
  <si>
    <t>375,94</t>
  </si>
  <si>
    <t xml:space="preserve"> ED-20721 </t>
  </si>
  <si>
    <t>CAIXA DE INSPEÇÃO EM CONCRETO, TIPO "ZB", PADRÃO CEMIG, COMPRIMENTO 52CM, LARGURA 44CM, ALTURA 70CM, ESPESSURA 7CM EM CONCRETO ESTRUTURAL, PREPARADO EM OBRA COM BETONEIRA, COM FCK 20 MPA, INCLUSIVE ARMAÇÃO EM AÇO CA-50/ 60 (FABRICAÇÃO)</t>
  </si>
  <si>
    <t>168,74</t>
  </si>
  <si>
    <t xml:space="preserve"> 4.7.7 </t>
  </si>
  <si>
    <t xml:space="preserve"> 93653 </t>
  </si>
  <si>
    <t xml:space="preserve"> 00034653 </t>
  </si>
  <si>
    <t>DISJUNTOR TIPO DIN/IEC, MONOPOLAR DE 6  ATE  32A</t>
  </si>
  <si>
    <t xml:space="preserve"> 00001570 </t>
  </si>
  <si>
    <t>TERMINAL A COMPRESSAO EM COBRE ESTANHADO PARA CABO 2,5 MM2, 1 FURO E 1 COMPRESSAO, PARA PARAFUSO DE FIXACAO M5</t>
  </si>
  <si>
    <t xml:space="preserve"> 4.7.8 </t>
  </si>
  <si>
    <t xml:space="preserve"> 93655 </t>
  </si>
  <si>
    <t xml:space="preserve"> 00001571 </t>
  </si>
  <si>
    <t>TERMINAL A COMPRESSAO EM COBRE ESTANHADO PARA CABO 4 MM2, 1 FURO E 1 COMPRESSAO, PARA PARAFUSO DE FIXACAO M5</t>
  </si>
  <si>
    <t xml:space="preserve"> 4.7.9 </t>
  </si>
  <si>
    <t xml:space="preserve"> 91924 </t>
  </si>
  <si>
    <t xml:space="preserve"> 00001013 </t>
  </si>
  <si>
    <t>CABO DE COBRE, FLEXIVEL, CLASSE 4 OU 5, ISOLACAO EM PVC/A, ANTICHAMA BWF-B, 1 CONDUTOR, 450/750 V, SECAO NOMINAL 1,5 MM2</t>
  </si>
  <si>
    <t xml:space="preserve"> 4.7.10 </t>
  </si>
  <si>
    <t xml:space="preserve"> 91926 </t>
  </si>
  <si>
    <t xml:space="preserve"> 00001014 </t>
  </si>
  <si>
    <t>CABO DE COBRE, FLEXIVEL, CLASSE 4 OU 5, ISOLACAO EM PVC/A, ANTICHAMA BWF-B, 1 CONDUTOR, 450/750 V, SECAO NOMINAL 2,5 MM2</t>
  </si>
  <si>
    <t xml:space="preserve"> 4.7.11 </t>
  </si>
  <si>
    <t xml:space="preserve"> COMP-ELE-106 </t>
  </si>
  <si>
    <t xml:space="preserve"> 00038773 </t>
  </si>
  <si>
    <t>LUMINARIA DE TETO PLAFON/PLAFONIER EM PLASTICO COM BASE E27, POTENCIA MAXIMA 60 W (NAO INCLUI LAMPADA)</t>
  </si>
  <si>
    <t xml:space="preserve"> 00038194 </t>
  </si>
  <si>
    <t>LAMPADA LED 10 W BIVOLT BRANCA, FORMATO TRADICIONAL (BASE E27)</t>
  </si>
  <si>
    <t xml:space="preserve"> 4.7.12 </t>
  </si>
  <si>
    <t xml:space="preserve"> COMP-ELE-004 </t>
  </si>
  <si>
    <t xml:space="preserve"> 00002580 </t>
  </si>
  <si>
    <t>CONDULETE DE ALUMINIO TIPO X, PARA ELETRODUTO ROSCAVEL DE 3/4", COM TAMPA CEGA</t>
  </si>
  <si>
    <t xml:space="preserve"> 00038101 </t>
  </si>
  <si>
    <t>TOMADA 2P+T 10A, 250V  (APENAS MODULO)</t>
  </si>
  <si>
    <t xml:space="preserve"> 00039352 </t>
  </si>
  <si>
    <t>TAMPA PARA CONDULETE, EM PVC, PARA TOMADA HEXAGONAL</t>
  </si>
  <si>
    <t xml:space="preserve"> 00002488 </t>
  </si>
  <si>
    <t>CONECTOR RETO DE ALUMINIO PARA ELETRODUTO DE 3/4", PARA ADAPTAR ENTRADA DE ELETRODUTO METALICO FLEXIVEL EM QUADROS</t>
  </si>
  <si>
    <t xml:space="preserve"> 4.7.13 </t>
  </si>
  <si>
    <t xml:space="preserve"> 96986 </t>
  </si>
  <si>
    <t xml:space="preserve"> 00003378 </t>
  </si>
  <si>
    <t>!EM PROCESSO DE DESATIVACAO! HASTE DE ATERRAMENTO EM ACO COM 3,00 M DE COMPRIMENTO E DN = 3/4", REVESTIDA COM BAIXA CAMADA DE COBRE, SEM CONECTOR</t>
  </si>
  <si>
    <t xml:space="preserve"> 4.7.14 </t>
  </si>
  <si>
    <t xml:space="preserve"> 98111 </t>
  </si>
  <si>
    <t xml:space="preserve"> 101618 </t>
  </si>
  <si>
    <t>PREPARO DE FUNDO DE VALA COM LARGURA MENOR QUE 1,5 M, COM CAMADA DE AREIA, LANÇAMENTO MANUAL. AF_08/2020</t>
  </si>
  <si>
    <t xml:space="preserve"> 00034643 </t>
  </si>
  <si>
    <t>CAIXA DE INSPECAO PARA ATERRAMENTO E PARA RAIOS, EM POLIPROPILENO,  DIAMETRO = 300 MM X ALTURA = 400 MM</t>
  </si>
  <si>
    <t xml:space="preserve"> 4.7.15 </t>
  </si>
  <si>
    <t xml:space="preserve"> ELE-COR-010 </t>
  </si>
  <si>
    <t>11,45</t>
  </si>
  <si>
    <t>1,18</t>
  </si>
  <si>
    <t>1,55</t>
  </si>
  <si>
    <t xml:space="preserve"> MATED- 12612 </t>
  </si>
  <si>
    <t>CABO DE COBRE NU ( SEÇÃO TRANSVERSAL: 10MM2|NÚMEROS DE FIOS: 7|DIÂMETRO DOS FIOS: 1, 36MM|CLASSE: 2A)</t>
  </si>
  <si>
    <t>8,31</t>
  </si>
  <si>
    <t>8,72</t>
  </si>
  <si>
    <t xml:space="preserve"> 4.7.16 </t>
  </si>
  <si>
    <t xml:space="preserve"> CPU-GAS-005 </t>
  </si>
  <si>
    <t xml:space="preserve"> 00011950 </t>
  </si>
  <si>
    <t>BUCHA DE NYLON SEM ABA S6, COM PARAFUSO DE 4,20 X 40 MM EM ACO ZINCADO COM ROSCA SOBERBA, CABECA CHATA E FENDA PHILLIPS</t>
  </si>
  <si>
    <t xml:space="preserve"> 4.7.17 </t>
  </si>
  <si>
    <t xml:space="preserve"> COMP-ELE-28 </t>
  </si>
  <si>
    <t>34,20</t>
  </si>
  <si>
    <t>2,85</t>
  </si>
  <si>
    <t>3,73</t>
  </si>
  <si>
    <t>15,75</t>
  </si>
  <si>
    <t xml:space="preserve"> 00038112 </t>
  </si>
  <si>
    <t>INTERRUPTOR SIMPLES 10A, 250V (APENAS MODULO)</t>
  </si>
  <si>
    <t>6,68</t>
  </si>
  <si>
    <t xml:space="preserve"> MATED- 17885 </t>
  </si>
  <si>
    <t>TAMPA PARA CONDULETE ( MATERIAL: ALUMÍNIO|TIPO: INTERRUPTOR| QUANTIDADE DE POSTOS: 1|CONDULETES:  3/4"[20MM] |PARAFUSOS: INCLUSOS)</t>
  </si>
  <si>
    <t>3,18</t>
  </si>
  <si>
    <t xml:space="preserve"> 4.8 </t>
  </si>
  <si>
    <t xml:space="preserve"> 4.8.1 </t>
  </si>
  <si>
    <t xml:space="preserve"> LIM-GER-005 </t>
  </si>
  <si>
    <t>5,69</t>
  </si>
  <si>
    <t>5,25</t>
  </si>
  <si>
    <t xml:space="preserve"> MATED- 11464 </t>
  </si>
  <si>
    <t>ÁCIDO MURIÁTICO</t>
  </si>
  <si>
    <t>13,42</t>
  </si>
  <si>
    <t>0,10</t>
  </si>
  <si>
    <t xml:space="preserve"> MATED- 9578 </t>
  </si>
  <si>
    <t>DETERGENTE COM AMONÍACO (AMÔNIA DILUÍDA)</t>
  </si>
  <si>
    <t>3,31</t>
  </si>
  <si>
    <t>0,16</t>
  </si>
  <si>
    <t xml:space="preserve"> MATED- 11262 </t>
  </si>
  <si>
    <t>ESTOPA DE ALGODÃO</t>
  </si>
  <si>
    <t>0,13</t>
  </si>
  <si>
    <t>2,76</t>
  </si>
  <si>
    <t>0,05</t>
  </si>
  <si>
    <t xml:space="preserve"> 4.8.2 </t>
  </si>
  <si>
    <t xml:space="preserve"> 4.8.3 </t>
  </si>
  <si>
    <t xml:space="preserve"> PLA-ALU-045 </t>
  </si>
  <si>
    <t>44,59</t>
  </si>
  <si>
    <t xml:space="preserve"> MATED- 11334 </t>
  </si>
  <si>
    <t>PARAFUSO (ROSCA: SOBERBA|CABEÇA: SEXTAVADA|MATERIAL: AÇO|ACABAMENTO: ZINCADO|COMPRIMENTO: 110MM|DIÂMETRO: 8MM)</t>
  </si>
  <si>
    <t>0,61</t>
  </si>
  <si>
    <t>2,44</t>
  </si>
  <si>
    <t xml:space="preserve"> MATED- 12782 </t>
  </si>
  <si>
    <t>PLACA DE ALUMÍNIO ANODIZADO 25 X 25 CM ESP. = 1,5 MM</t>
  </si>
  <si>
    <t>30,60</t>
  </si>
  <si>
    <t xml:space="preserve"> 4.8.4 </t>
  </si>
  <si>
    <t xml:space="preserve"> COMP-ABRIGO-02 </t>
  </si>
  <si>
    <t xml:space="preserve"> 00000039 </t>
  </si>
  <si>
    <t>FRISO PROTETOR DE PORTA CONTRA INSETOS E ÁGUA DE CHUVA</t>
  </si>
  <si>
    <t xml:space="preserve"> 5 </t>
  </si>
  <si>
    <t xml:space="preserve"> 5.1 </t>
  </si>
  <si>
    <t xml:space="preserve"> 5.1.1 </t>
  </si>
  <si>
    <t xml:space="preserve"> 5.1.1.1 </t>
  </si>
  <si>
    <t xml:space="preserve"> 5.1.1.2 </t>
  </si>
  <si>
    <t xml:space="preserve"> 5.1.1.3 </t>
  </si>
  <si>
    <t xml:space="preserve"> 5.1.1.4 </t>
  </si>
  <si>
    <t xml:space="preserve"> 5.1.1.5 </t>
  </si>
  <si>
    <t xml:space="preserve"> 5.1.1.6 </t>
  </si>
  <si>
    <t xml:space="preserve"> 5.1.1.7 </t>
  </si>
  <si>
    <t xml:space="preserve"> 5.1.1.8 </t>
  </si>
  <si>
    <t xml:space="preserve"> 5.1.1.9 </t>
  </si>
  <si>
    <t xml:space="preserve"> 93205 </t>
  </si>
  <si>
    <t xml:space="preserve"> 90279 </t>
  </si>
  <si>
    <t>GRAUTE FGK=20 MPA; TRAÇO 1:0,04:1,8:2,1 (EM MASSA SECA DE CIMENTO/ CAL/ AREIA GROSSA/ BRITA 0) - PREPARO MECÂNICO COM BETONEIRA 400 L. AF_09/2021</t>
  </si>
  <si>
    <t xml:space="preserve"> 87294 </t>
  </si>
  <si>
    <t>ARGAMASSA TRAÇO 1:2:9 (EM VOLUME DE CIMENTO, CAL E AREIA MÉDIA ÚMIDA) PARA EMBOÇO/MASSA ÚNICA/ASSENTAMENTO DE ALVENARIA DE VEDAÇÃO, PREPARO MECÂNICO COM BETONEIRA 600 L. AF_08/2019</t>
  </si>
  <si>
    <t xml:space="preserve"> 00000659 </t>
  </si>
  <si>
    <t>CANALETA DE CONCRETO 14 X 19 X 19 CM (CLASSE C - NBR 6136)</t>
  </si>
  <si>
    <t xml:space="preserve"> 5.1.1.10 </t>
  </si>
  <si>
    <t xml:space="preserve"> 89998 </t>
  </si>
  <si>
    <t xml:space="preserve"> 00000034 </t>
  </si>
  <si>
    <t>ACO CA-50, 10,0 MM, VERGALHAO</t>
  </si>
  <si>
    <t xml:space="preserve"> 5.1.2 </t>
  </si>
  <si>
    <t xml:space="preserve"> 5.1.2.1 </t>
  </si>
  <si>
    <t xml:space="preserve"> 5.1.2.2 </t>
  </si>
  <si>
    <t xml:space="preserve"> 5.1.2.3 </t>
  </si>
  <si>
    <t xml:space="preserve"> 5.2 </t>
  </si>
  <si>
    <t xml:space="preserve"> 5.2.1 </t>
  </si>
  <si>
    <t xml:space="preserve"> 5.2.1.1 </t>
  </si>
  <si>
    <t xml:space="preserve"> 5.2.1.2 </t>
  </si>
  <si>
    <t xml:space="preserve"> 5.2.2 </t>
  </si>
  <si>
    <t xml:space="preserve"> 5.2.2.1 </t>
  </si>
  <si>
    <t xml:space="preserve"> 5.3 </t>
  </si>
  <si>
    <t xml:space="preserve"> 5.3.1 </t>
  </si>
  <si>
    <t xml:space="preserve"> 5.3.1.1 </t>
  </si>
  <si>
    <t xml:space="preserve"> 5.3.2 </t>
  </si>
  <si>
    <t xml:space="preserve"> 5.3.2.1 </t>
  </si>
  <si>
    <t xml:space="preserve"> 5.3.2.2 </t>
  </si>
  <si>
    <t xml:space="preserve"> 5.3.2.3 </t>
  </si>
  <si>
    <t xml:space="preserve"> 5.3.3 </t>
  </si>
  <si>
    <t xml:space="preserve"> 5.3.3.1 </t>
  </si>
  <si>
    <t xml:space="preserve"> 5.3.3.2 </t>
  </si>
  <si>
    <t xml:space="preserve"> 5.3.4 </t>
  </si>
  <si>
    <t xml:space="preserve"> 5.3.4.1 </t>
  </si>
  <si>
    <t xml:space="preserve"> 5.3.4.2 </t>
  </si>
  <si>
    <t xml:space="preserve"> 5.3.5 </t>
  </si>
  <si>
    <t xml:space="preserve"> 5.3.5.1 </t>
  </si>
  <si>
    <t xml:space="preserve"> 5.3.6 </t>
  </si>
  <si>
    <t xml:space="preserve"> 5.3.6.1 </t>
  </si>
  <si>
    <t xml:space="preserve"> 5.3.6.2 </t>
  </si>
  <si>
    <t xml:space="preserve"> COMP-CHAPA-01 </t>
  </si>
  <si>
    <t>M²</t>
  </si>
  <si>
    <t xml:space="preserve"> 00011061 </t>
  </si>
  <si>
    <t>CHAPA DE ACO GALVANIZADA BITOLA GSG 30, E = 0,35 MM (2,80 KG/M2)</t>
  </si>
  <si>
    <t xml:space="preserve"> 5.4 </t>
  </si>
  <si>
    <t xml:space="preserve"> 5.4.1 </t>
  </si>
  <si>
    <t xml:space="preserve"> 5.4.2 </t>
  </si>
  <si>
    <t xml:space="preserve"> 5.4.3 </t>
  </si>
  <si>
    <t xml:space="preserve"> 5.4.4 </t>
  </si>
  <si>
    <t xml:space="preserve"> 5.4.5 </t>
  </si>
  <si>
    <t xml:space="preserve"> 5.4.6 </t>
  </si>
  <si>
    <t xml:space="preserve"> 5.4.7 </t>
  </si>
  <si>
    <t xml:space="preserve"> 5.4.8 </t>
  </si>
  <si>
    <t xml:space="preserve"> 5.5 </t>
  </si>
  <si>
    <t xml:space="preserve"> 5.5.1 </t>
  </si>
  <si>
    <t xml:space="preserve"> 5.5.2 </t>
  </si>
  <si>
    <t xml:space="preserve"> 5.5.3 </t>
  </si>
  <si>
    <t xml:space="preserve"> 5.5.4 </t>
  </si>
  <si>
    <t xml:space="preserve"> 5.5.5 </t>
  </si>
  <si>
    <t xml:space="preserve"> 97607 </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</si>
  <si>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</si>
  <si>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</si>
  <si>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</si>
  <si>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</si>
  <si>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5.5.6 </t>
  </si>
  <si>
    <t>UNIVERSIDADE FEDERAL DOS VALES DO JEQUITINHONHA E MUCURI
CAMPUS PRESIDENTE JUSCELINO KUBITSCHEK - DIAMANTINA - MG
REFORMA E AMPLIAÇÃO DO ABRIGO DE RESÍDUOS DE SERVIÇOS DE SAÚDE (RSS)
CRONOGRAMA FÍSICO-FINANCEIRO DE REFERÊNCIA - Não desonerada</t>
  </si>
  <si>
    <t>TOTAL</t>
  </si>
  <si>
    <t>MÊS UM</t>
  </si>
  <si>
    <t>MÊS DOIS</t>
  </si>
  <si>
    <t>MÊS TRÊS</t>
  </si>
  <si>
    <t>MÊS QUATRO</t>
  </si>
  <si>
    <t>VALOR</t>
  </si>
  <si>
    <t>(R$) SIMPLES</t>
  </si>
  <si>
    <t>(%) SIMPLES</t>
  </si>
  <si>
    <t>(R$) ACUMULADO</t>
  </si>
  <si>
    <t>(%) ACUMULADO</t>
  </si>
  <si>
    <r>
      <rPr>
        <b/>
        <sz val="11"/>
        <color rgb="FF000000"/>
        <rFont val="Calibri"/>
        <family val="2"/>
        <charset val="1"/>
      </rPr>
      <t xml:space="preserve">UNIVERSIDADE FEDERAL DOS VALES DO JEQUITINHONHA E MUCURI
CAMPUS PRESIDENTE JUSCELINO KUBITSCHEK - DIAMANTINA - MG
</t>
    </r>
    <r>
      <rPr>
        <b/>
        <sz val="11"/>
        <color rgb="FFFF0000"/>
        <rFont val="Calibri"/>
        <family val="2"/>
        <charset val="1"/>
      </rPr>
      <t xml:space="preserve">REFORMA E AMPLIAÇÃO DO ABRIGO DE RESÍDUOS DE SERVIÇOS DE SAÚDE (RSS)
</t>
    </r>
    <r>
      <rPr>
        <b/>
        <sz val="11"/>
        <color rgb="FF000000"/>
        <rFont val="Calibri"/>
        <family val="2"/>
        <charset val="1"/>
      </rPr>
      <t>BDI DE SERVIÇOS DE REFERÊNCIA</t>
    </r>
  </si>
  <si>
    <r>
      <rPr>
        <b/>
        <sz val="11"/>
        <color rgb="FF000000"/>
        <rFont val="Calibri"/>
        <family val="2"/>
        <charset val="1"/>
      </rPr>
      <t>MODELO COMPOSIÇÃO DA TAXA DE BENEFÍCIOS E DESPESAS INDIRETAS                          CIDADE DE DIAMANTINA (</t>
    </r>
    <r>
      <rPr>
        <b/>
        <u/>
        <sz val="11"/>
        <color rgb="FF000000"/>
        <rFont val="Calibri"/>
        <family val="2"/>
        <charset val="1"/>
      </rPr>
      <t>NÃO DESONERADO</t>
    </r>
    <r>
      <rPr>
        <b/>
        <sz val="11"/>
        <color rgb="FF000000"/>
        <rFont val="Calibri"/>
        <family val="2"/>
        <charset val="1"/>
      </rPr>
      <t>)</t>
    </r>
  </si>
  <si>
    <t>Grupo</t>
  </si>
  <si>
    <t>A</t>
  </si>
  <si>
    <t>Despesas indiretas</t>
  </si>
  <si>
    <t>A.1</t>
  </si>
  <si>
    <t xml:space="preserve">Administração central </t>
  </si>
  <si>
    <t>A.2</t>
  </si>
  <si>
    <t>Garantia e Seguro Contratual</t>
  </si>
  <si>
    <t>A.3</t>
  </si>
  <si>
    <t>Seguro de Risco de Engenharia</t>
  </si>
  <si>
    <t>A.4</t>
  </si>
  <si>
    <t xml:space="preserve">Outros </t>
  </si>
  <si>
    <t>Total do grupo A</t>
  </si>
  <si>
    <t>B</t>
  </si>
  <si>
    <t>Bonificação</t>
  </si>
  <si>
    <t>B.1</t>
  </si>
  <si>
    <t>Lucro</t>
  </si>
  <si>
    <t>Total do grupo B</t>
  </si>
  <si>
    <t>C</t>
  </si>
  <si>
    <t>Impostos</t>
  </si>
  <si>
    <t>C.1</t>
  </si>
  <si>
    <t>PIS</t>
  </si>
  <si>
    <t>C.2</t>
  </si>
  <si>
    <t>COFINS</t>
  </si>
  <si>
    <t>C.3</t>
  </si>
  <si>
    <t>ISS (Prefeitura de Diamantina)*</t>
  </si>
  <si>
    <t>C.4</t>
  </si>
  <si>
    <t>CPRB (Contribuição Previdenciária sobre Renda Bruta)</t>
  </si>
  <si>
    <t>Total do grupo C</t>
  </si>
  <si>
    <t>D</t>
  </si>
  <si>
    <t>Despesas Financeiras (F)</t>
  </si>
  <si>
    <t xml:space="preserve">Despesas Financeiras (F) </t>
  </si>
  <si>
    <t>Total do grupo D</t>
  </si>
  <si>
    <t>Fórmula para o cálculo do B.D.I. ( benefícios e despesas indiretas )</t>
  </si>
  <si>
    <t>BDI = BDI (%) = [(1+A) x (1+F) x (1+B)]/(1-I) - 1</t>
  </si>
  <si>
    <t>UNIVERSIDADE FEDERAL DOS VALES DO JEQUITINHONHA E MUCURI
CAMPUS PRESIDENTE JUSCELINO KUBITSCHEK - DIAMANTINA - MG
REFORMA E AMPLIAÇÃO DO ABRIGO DE RESÍDUOS DE SERVIÇOS DE SAÚDE (RSS)
PLANILHA ORÇAMENTÁRIA SINTÉTICA DE REFERÊNCIA - DESONERADA</t>
  </si>
  <si>
    <t>Item</t>
  </si>
  <si>
    <t>1</t>
  </si>
  <si>
    <t>2</t>
  </si>
  <si>
    <t>3</t>
  </si>
  <si>
    <t>4</t>
  </si>
  <si>
    <t>LAJE 8 CM MACIÇA DE CONCRETO 20MPA, COM ARMAÇÃO, FORMA RESINADA. ESCORAMENTO E DESFORMA (BANCADA DE CONCRETO)</t>
  </si>
  <si>
    <t>4.4.2001</t>
  </si>
  <si>
    <t>4.4.2002</t>
  </si>
  <si>
    <t>4.4.2003</t>
  </si>
  <si>
    <t>4.5.2001</t>
  </si>
  <si>
    <t>4.5.2002</t>
  </si>
  <si>
    <t>CONDULETE DE ALUMÍNIO, TIPO X COM TAMPA CEGA, PARA ELETRODUTO DE AÇO GALVANIZADO DN 20 MM (3/4</t>
  </si>
  <si>
    <t>5</t>
  </si>
  <si>
    <t>PORTÃO EM TUBO GALVANIZADO 1 1/2" COM TELA FIO 12 # 1/2" E CADEADO E CHAPA DE ACO GALVANIZADA BITOLA GSG 26, E = 0,50 MM - FORNECIMENTO E INSTALAÇÃO (P03)</t>
  </si>
  <si>
    <r>
      <rPr>
        <b/>
        <sz val="11"/>
        <color rgb="FF000000"/>
        <rFont val="Calibri"/>
        <family val="2"/>
        <charset val="1"/>
      </rPr>
      <t>MODELO COMPOSIÇÃO DA TAXA DE BENEFÍCIOS E DESPESAS INDIRETAS                          CIDADE DE DIAMANTIA (</t>
    </r>
    <r>
      <rPr>
        <b/>
        <u/>
        <sz val="11"/>
        <color rgb="FF000000"/>
        <rFont val="Calibri"/>
        <family val="2"/>
        <charset val="1"/>
      </rPr>
      <t>DESONERADO</t>
    </r>
    <r>
      <rPr>
        <b/>
        <sz val="11"/>
        <color rgb="FF000000"/>
        <rFont val="Calibri"/>
        <family val="2"/>
        <charset val="1"/>
      </rPr>
      <t>)</t>
    </r>
  </si>
  <si>
    <t>OBRA: REFORMA E AMPLIAÇÃO DO ABRIGO DE RESÍDUOS DE SERVIÇOS DE SAÚDE (RSS)</t>
  </si>
  <si>
    <t>Encargos sociais</t>
  </si>
  <si>
    <t>CURVA ABC DE INSUMOS</t>
  </si>
  <si>
    <t>Não desonerado: 0,00%</t>
  </si>
  <si>
    <t>Quantidade</t>
  </si>
  <si>
    <t>Valor Unitário</t>
  </si>
  <si>
    <t>Peso</t>
  </si>
  <si>
    <t>Valor Acumulado</t>
  </si>
  <si>
    <t>Peso Acumulado</t>
  </si>
  <si>
    <t>Operativa</t>
  </si>
  <si>
    <t>Geral</t>
  </si>
  <si>
    <t>MATED- 11579</t>
  </si>
  <si>
    <t>MATED- 11981</t>
  </si>
  <si>
    <t>MOED- 20154</t>
  </si>
  <si>
    <t>SERVENTE</t>
  </si>
  <si>
    <t>MATED- 12176</t>
  </si>
  <si>
    <t>SERVENTE DE OBRAS</t>
  </si>
  <si>
    <t>MATED- 11415</t>
  </si>
  <si>
    <t>MATED- 11266</t>
  </si>
  <si>
    <t>PEDREIRO (HORISTA)</t>
  </si>
  <si>
    <t>MATED- 11258</t>
  </si>
  <si>
    <t>CIMENTO PORTLAND CP II- E-32 (RESISTÊNCIA: 32,00 MPA)</t>
  </si>
  <si>
    <t>PINTOR (HORISTA)</t>
  </si>
  <si>
    <t>MOED- 20150</t>
  </si>
  <si>
    <t>PEDREIRO</t>
  </si>
  <si>
    <t>ENCANADOR OU BOMBEIRO HIDRAULICO (HORISTA)</t>
  </si>
  <si>
    <t>MATED- 11344</t>
  </si>
  <si>
    <t>MATED- 12660</t>
  </si>
  <si>
    <t>MATED- 13096</t>
  </si>
  <si>
    <t>CESTA BÁSICA/ ALIMENTAÇÃO - HORISTA ( ENCARGOS COMPLEMENTARES)</t>
  </si>
  <si>
    <t>hora</t>
  </si>
  <si>
    <t>MOED- 20138</t>
  </si>
  <si>
    <t>AZULEJISTA</t>
  </si>
  <si>
    <t>MATED- 11248</t>
  </si>
  <si>
    <t>AREIA LAVADA POSTO OBRA (TIPO: MÉDIA)</t>
  </si>
  <si>
    <t>MATED- 11251</t>
  </si>
  <si>
    <t>PEDRA BRITADA POSTO OBRA (NÚMERO: 2| GRANULOMETRIA: 19-38MM )</t>
  </si>
  <si>
    <t>MOED- 20149</t>
  </si>
  <si>
    <t>MONTADOR</t>
  </si>
  <si>
    <t>ALIMENTACAO - HORISTA (COLETADO CAIXA)</t>
  </si>
  <si>
    <t>MOED- 20141</t>
  </si>
  <si>
    <t>CARPINTEIRO DE FORMA</t>
  </si>
  <si>
    <t>AUXILIAR DE ENCANADOR OU BOMBEIRO HIDRAULICO (HORISTA)</t>
  </si>
  <si>
    <t>MOED- 20151</t>
  </si>
  <si>
    <t>PINTOR</t>
  </si>
  <si>
    <t>PM30</t>
  </si>
  <si>
    <t>ED-8461</t>
  </si>
  <si>
    <t>MATED- 13099</t>
  </si>
  <si>
    <t>EXAMES - HORISTA ( ENCARGOS COMPLEMENTARES)</t>
  </si>
  <si>
    <t>MATED- 13097</t>
  </si>
  <si>
    <t>TRANSPORTE - HORISTA ( ENCARGOS COMPLEMENTARES)</t>
  </si>
  <si>
    <t>ED-8411</t>
  </si>
  <si>
    <t>FORMA E DESFORMA PARA LAJE COM CHAPA DE COMPENSADO RESINADO, ESP. 12MM, REAPROVEITAMENTO (3X), EXCLUSIVE ESCORAMENTO</t>
  </si>
  <si>
    <t>CAL HIDRATADA CH-I PARA ARGAMASSAS</t>
  </si>
  <si>
    <t>ACO CA-50, 8,0 MM, VERGALHAO</t>
  </si>
  <si>
    <t>EXAMES - HORISTA (COLETADO CAIXA)</t>
  </si>
  <si>
    <t>TRANSPORTE - HORISTA (COLETADO CAIXA)</t>
  </si>
  <si>
    <t>MATED- 11282</t>
  </si>
  <si>
    <t>BARRA AÇO CA-50 (BITOLA: 10,00 MM|MASSA LINEAR: 0 ,617 KG/M)</t>
  </si>
  <si>
    <t>AREIA MEDIA - POSTO JAZIDA/FORNECEDOR (RETIRADO NA JAZIDA, SEM TRANSPORTE)</t>
  </si>
  <si>
    <t>MATED- 12465</t>
  </si>
  <si>
    <t>ED-8460</t>
  </si>
  <si>
    <t>ELETRICISTA</t>
  </si>
  <si>
    <t>MATED- 8356</t>
  </si>
  <si>
    <t>BARRA AÇO CA-50 (BITOLA: 6,30 MM|MASSA LINEAR: 0, 245 KG/M)</t>
  </si>
  <si>
    <t>ED-8410</t>
  </si>
  <si>
    <t>FORMA E DESFORMA PARA VIGA COM CHAPA DE COMPENSADO RESINADO, ESP. 12MM, REAPROVEITAMENTO (3X), EXCLUSIVE ESCORAMENTO</t>
  </si>
  <si>
    <t>MATED- 12286</t>
  </si>
  <si>
    <t>MOED- 8499</t>
  </si>
  <si>
    <t>OPERADOR DE BETONEIRA ESTACIONÁRIA</t>
  </si>
  <si>
    <t>MOED- 20144</t>
  </si>
  <si>
    <t>ARMADOR</t>
  </si>
  <si>
    <t>MATED- 11250</t>
  </si>
  <si>
    <t>PEDRA BRITADA POSTO OBRA (NÚMERO: 1| GRANULOMETRIA: 9,5- 19MM)</t>
  </si>
  <si>
    <t>ED-14664</t>
  </si>
  <si>
    <t>EPI PARA SERVENTE - HORISTA (ENCARGOS COMPLEMENTARES)</t>
  </si>
  <si>
    <t>MATED- 11285</t>
  </si>
  <si>
    <t>BARRA AÇO CA-60 (BITOLA: 5,00 MM|MASSA LINEAR: 0, 154 KG/M)</t>
  </si>
  <si>
    <t>MATED- 8357</t>
  </si>
  <si>
    <t>BARRA AÇO CA-50 (BITOLA: 8,00 MM|MASSA LINEAR: 0, 395 KG/M)</t>
  </si>
  <si>
    <t>MOED- 20129</t>
  </si>
  <si>
    <t>AJUDANTE DE CARPINTEIRO</t>
  </si>
  <si>
    <t>MOED- 20142</t>
  </si>
  <si>
    <t>AJUDANTE DE ELETRICISTA</t>
  </si>
  <si>
    <t>MATED- 8358</t>
  </si>
  <si>
    <t>BARRA AÇO CA-50 (BITOLA: 12,50 MM|MASSA LINEAR: 0 ,963 KG/M)</t>
  </si>
  <si>
    <t>MATED- 11354</t>
  </si>
  <si>
    <t>TÁBUA 3A. CONSTRUÇÃO ( SEÇÃO TRANSVERSAL: 1X12"|ESPESSURA: 25MM| LARGURA: 300MM|TIPO DE MADEIRA: CEDRINHO)</t>
  </si>
  <si>
    <t>MATED- 11444</t>
  </si>
  <si>
    <t>ARMADOR (HORISTA)</t>
  </si>
  <si>
    <t>EPI - FAMILIA SERVENTE - HORISTA (ENCARGOS COMPLEMENTARES - COLETADO CAIXA)</t>
  </si>
  <si>
    <t>MOED- 20134</t>
  </si>
  <si>
    <t>REJUNTADOR</t>
  </si>
  <si>
    <t>MATED- 11281</t>
  </si>
  <si>
    <t>BARRA AÇO CA-50 (BITOLA: 16,00 MM|MASSA LINEAR: 1 ,578 KG/M)</t>
  </si>
  <si>
    <t>TUBO PVC SERIE NORMAL, DN 40 MM, PARA ESGOTO PREDIAL (NBR 5688)</t>
  </si>
  <si>
    <t>MONTADOR DE ESTRUTURAS METALICAS HORISTA</t>
  </si>
  <si>
    <t>MATED- 12351</t>
  </si>
  <si>
    <t>ED-16670</t>
  </si>
  <si>
    <t>MATED- 13060</t>
  </si>
  <si>
    <t>ED-8459</t>
  </si>
  <si>
    <t>MOED- 20130</t>
  </si>
  <si>
    <t>TUBO PVC, SERIE R, DN 75 MM, PARA ESGOTO OU AGUAS PLUVIAIS PREDIAIS (NBR 5688)</t>
  </si>
  <si>
    <t>MATED- 12750</t>
  </si>
  <si>
    <t>MATED- 11315</t>
  </si>
  <si>
    <t>TIJOLO MACIÇO (TIPO: COMUM|COMPRIMENTO: 190MM|LARGURA: 90MM| ALTURA: 50MM*)*VALORES REFERENCIAIS APROXIMADOS</t>
  </si>
  <si>
    <t>ED-14700</t>
  </si>
  <si>
    <t>FERRAMENTAS PARA SERVENTE - HORISTA ( ENCARGOS COMPLEMENTARES)</t>
  </si>
  <si>
    <t>MATED- 11350</t>
  </si>
  <si>
    <t>SARRAFO NÃO APARELHADO (SEÇÃO TRANSVERSAL: : 1"X3"[POL. ]|ALTURA: 75MM[3"]| ESPESSURA: 25MM[1"]|TIPO DE MADEIRA: PINUS, MISTA OU EQUIVALENTE DA REGIÃO)</t>
  </si>
  <si>
    <t>MUDA DE ARVORE ORNAMENTAL, OITI/AROEIRA SALSA/ANGICO/IPE/JACARANDA OU EQUIVALENTE DA REGIAO, H= *1* M</t>
  </si>
  <si>
    <t>MATED- 11379</t>
  </si>
  <si>
    <t>ED-8409</t>
  </si>
  <si>
    <t>FORMA E DESFORMA PARA PILAR COM CHAPA DE COMPENSADO RESINADO, ESP. 12MM, REAPROVEITAMENTO (3X), EXCLUSIVE ESCORAMENTO</t>
  </si>
  <si>
    <t>EPI - FAMILIA PEDREIRO - HORISTA (ENCARGOS COMPLEMENTARES - COLETADO CAIXA)</t>
  </si>
  <si>
    <t>MATED- 11459</t>
  </si>
  <si>
    <t>IMPERMEABILIZADOR (HORISTA)</t>
  </si>
  <si>
    <t>MATED- 11333</t>
  </si>
  <si>
    <t>ARAME RECOZIDO (BITOLA: 18BWG|DIÂMETRO DO FIO: 1,25MM|MASSA LINEAR: 0, 01KG/M)</t>
  </si>
  <si>
    <t>EPI - FAMILIA PINTOR - HORISTA (ENCARGOS COMPLEMENTARES - COLETADO CAIXA)</t>
  </si>
  <si>
    <t>FERRAMENTAS - FAMILIA PINTOR - HORISTA (ENCARGOS COMPLEMENTARES - COLETADO CAIXA)</t>
  </si>
  <si>
    <t>OPERADOR DE BETONEIRA ESTACIONARIA / MISTURADOR</t>
  </si>
  <si>
    <t>MOED- 20039</t>
  </si>
  <si>
    <t>AJUDANTE DE ARMADOR</t>
  </si>
  <si>
    <t>ACO CA-60, 4,2 MM, OU 5,0 MM, OU 6,0 MM, OU 7,0 MM, VERGALHAO</t>
  </si>
  <si>
    <t>EPI - FAMILIA ENCANADOR - HORISTA (ENCARGOS COMPLEMENTARES - COLETADO CAIXA)</t>
  </si>
  <si>
    <t>FERRAMENTAS - FAMILIA SERVENTE - HORISTA (ENCARGOS COMPLEMENTARES - COLETADO CAIXA)</t>
  </si>
  <si>
    <t>MATED- 12782</t>
  </si>
  <si>
    <t>AZULEJISTA OU LADRILHEIRO (HORISTA)</t>
  </si>
  <si>
    <t>FERRAMENTAS - FAMILIA PEDREIRO - HORISTA (ENCARGOS COMPLEMENTARES - COLETADO CAIXA)</t>
  </si>
  <si>
    <t>MATED- 12561</t>
  </si>
  <si>
    <t>MATED- 12793</t>
  </si>
  <si>
    <t>OPERADOR DE MARTELETE OU MARTELETEIRO</t>
  </si>
  <si>
    <t>MATED- 11198</t>
  </si>
  <si>
    <t>TELHADOR (HORISTA)</t>
  </si>
  <si>
    <t>ED-20721</t>
  </si>
  <si>
    <t>MATED- 11324</t>
  </si>
  <si>
    <t>ED-50251</t>
  </si>
  <si>
    <t>ED-14652</t>
  </si>
  <si>
    <t>EPI PARA PEDREIRO - HORISTA (ENCARGOS COMPLEMENTARES)</t>
  </si>
  <si>
    <t>MATED- 11327</t>
  </si>
  <si>
    <t>PREGO 17X21 COM CABEÇA (COMPRIMENTO: 48,3 MM|DIÂMETRO DA CABEÇA: 3,0 MM| QUANTIDADE POR QUILO: 334)</t>
  </si>
  <si>
    <t>MATED- 12756</t>
  </si>
  <si>
    <t>MATED- 11256</t>
  </si>
  <si>
    <t>CAL HIDRATADA (TIPO: CH- III)</t>
  </si>
  <si>
    <t>ED-14660</t>
  </si>
  <si>
    <t>EPI PARA PINTOR - HORISTA (ENCARGOS COMPLEMENTARES)</t>
  </si>
  <si>
    <t>CAIXA DE INSPECAO PARA ATERRAMENTO E PARA RAIOS, EM POLIPROPILENO, DIAMETRO = 300 MM X ALTURA = 400 MM</t>
  </si>
  <si>
    <t>ED-14696</t>
  </si>
  <si>
    <t>FERRAMENTAS PARA PINTOR - HORISTA ( ENCARGOS COMPLEMENTARES)</t>
  </si>
  <si>
    <t>MATED- 12539</t>
  </si>
  <si>
    <t>AREIA GROSSA - POSTO JAZIDA/FORNECEDOR (RETIRADO NA JAZIDA, SEM TRANSPORTE)</t>
  </si>
  <si>
    <t>ED-5236</t>
  </si>
  <si>
    <t>CURSO DE CAPACITAÇÃO PARA SERVENTE ( ENCARGOS COMPLEMENTARES) - HORISTA</t>
  </si>
  <si>
    <t>ED-48610</t>
  </si>
  <si>
    <t>ED-14648</t>
  </si>
  <si>
    <t>EPI PARA CARPINTEIRO DE FORMA - HORISTA ( ENCARGOS COMPLEMENTARES)</t>
  </si>
  <si>
    <t>MATED- 11331</t>
  </si>
  <si>
    <t>MATED- 12355</t>
  </si>
  <si>
    <t>REJUNTE CIMENTÍCIO FLEXÍVEL (COR: DIVERSAS| DENSIDADE DA PASTA: 1500KG/M3*)*VALORES APROXIMADOS</t>
  </si>
  <si>
    <t>ED-14688</t>
  </si>
  <si>
    <t>FERRAMENTAS PARA PEDREIRO - HORISTA ( ENCARGOS COMPLEMENTARES)</t>
  </si>
  <si>
    <t>AJUDANTE DE ARMADOR (HORISTA)</t>
  </si>
  <si>
    <t>ED-14656</t>
  </si>
  <si>
    <t>EPI PARA AZULEJISTA - HORISTA (ENCARGOS COMPLEMENTARES)</t>
  </si>
  <si>
    <t>MOED- 20132</t>
  </si>
  <si>
    <t>AJUDANTE DE PINTOR</t>
  </si>
  <si>
    <t>OLEO DIESEL COMBUSTIVEL COMUM</t>
  </si>
  <si>
    <t>MATED- 12924</t>
  </si>
  <si>
    <t>DISJUNTOR TIPO DIN/IEC, MONOPOLAR DE 6 ATE 32A</t>
  </si>
  <si>
    <t>MATED- 12058</t>
  </si>
  <si>
    <t>MATED- 11433</t>
  </si>
  <si>
    <t>JARDINEIRO (HORISTA)</t>
  </si>
  <si>
    <t>MATED- 12612</t>
  </si>
  <si>
    <t>EPI - FAMILIA ELETRICISTA - HORISTA (ENCARGOS COMPLEMENTARES - COLETADO CAIXA)</t>
  </si>
  <si>
    <t>LAVATORIO DE LOUCA BRANCA, SUSPENSO (SEM COLUNA), DIMENSOES *40 X 30* CM</t>
  </si>
  <si>
    <t>MATED- 11352</t>
  </si>
  <si>
    <t>MATED- 11177</t>
  </si>
  <si>
    <t>LOCAÇÃO CAÇAMBA ESTACIONÁRIA (MATERIAL: AÇO CARBONO| CAPACIDADE EM VOLUME: 5M3|CAPACIDADE EM TONELADAS: 7,5TON* APLICAÇÃO: REMOÇÃO DE ENTULHO E/OU TERRA)* VALOR REFERENCIAIS APROXIMADOS</t>
  </si>
  <si>
    <t>MATED- 13098</t>
  </si>
  <si>
    <t>SEGURO - HORISTA ( ENCARGOS COMPLEMENTARES)</t>
  </si>
  <si>
    <t>MATED- 11325</t>
  </si>
  <si>
    <t>FERRAMENTAS - FAMILIA ENCANADOR - HORISTA (ENCARGOS COMPLEMENTARES - COLETADO CAIXA)</t>
  </si>
  <si>
    <t>ED-14673</t>
  </si>
  <si>
    <t>EPI PARA MONTADOR - HORISTA (ENCARGOS COMPLEMENTARES)</t>
  </si>
  <si>
    <t>SEGURO - HORISTA (COLETADO CAIXA)</t>
  </si>
  <si>
    <t>MATED- 8359</t>
  </si>
  <si>
    <t>BARRA AÇO CA-50 (BITOLA: 20,00 MM|MASSA LINEAR: 2 ,466 KG/M)</t>
  </si>
  <si>
    <t>MOED- 20143</t>
  </si>
  <si>
    <t>BOMBEIRO/ ENCANADOR</t>
  </si>
  <si>
    <t>ED-14692</t>
  </si>
  <si>
    <t>FERRAMENTAS PARA AZULEJISTA - HORISTA ( ENCARGOS COMPLEMENTARES)</t>
  </si>
  <si>
    <t>TOMADA 2P+T 10A, 250V (APENAS MODULO)</t>
  </si>
  <si>
    <t>ED-16671</t>
  </si>
  <si>
    <t>LUVA SIMPLES, PVC SERIE R, 75 MM, PARA ESGOTO OU AGUAS PLUVIAIS PREDIAIS</t>
  </si>
  <si>
    <t>FERRAMENTAS - FAMILIA ELETRICISTA - HORISTA (ENCARGOS COMPLEMENTARES - COLETADO CAIXA)</t>
  </si>
  <si>
    <t>MATED- 11432</t>
  </si>
  <si>
    <t>EQED- 8483</t>
  </si>
  <si>
    <t>BETONEIRA (TIPO: ELÉTRICA|CAPACIDADE NOMINAL: 400L| CAPACIDADE DE MISTURA : 310L|MOTOR ELÉTRICO: TRIFÁSICO|POTÊNCIA: 2CV|CONSUMO: 1,5KWH| CARREGADOR MECÂNICO: NÃO INCLUSO)</t>
  </si>
  <si>
    <t>TORNEIRA DE MESA/BANCADA, PARA LAVATORIO, FIXA, METALICA CROMADA, PADRAO POPULAR, 1/2 " OU 3/4 " (REF 1193)</t>
  </si>
  <si>
    <t>OPERADOR DE MAQUINAS E TRATORES DIVERSOS (TERRAPLANAGEM)</t>
  </si>
  <si>
    <t>TINTA ESMALTE SINTETICO PREMIUM ACETINADO</t>
  </si>
  <si>
    <t>MOED- 20131</t>
  </si>
  <si>
    <t>AJUDANTE DE BOMBEIRO/ ENCANADOR</t>
  </si>
  <si>
    <t>ED-14666</t>
  </si>
  <si>
    <t>EPI PARA AJUDANTE DE CARPINTEIRO - HORISTA ( ENCARGOS COMPLEMENTARES)</t>
  </si>
  <si>
    <t>MATED- 12372</t>
  </si>
  <si>
    <t>PREGO 17X21 SEM CABEÇA (COMPRIMENTO: 48 MM|DIÂMETRO: 3,0 MM| QUANTIDADE POR QUILO: 334)</t>
  </si>
  <si>
    <t>MATED- 11284</t>
  </si>
  <si>
    <t>BARRA AÇO CA-60 (BITOLA: 4,20 MM|MASSA LINEAR: 0, 109 KG/M)</t>
  </si>
  <si>
    <t>MATED- 11721</t>
  </si>
  <si>
    <t>ED-14663</t>
  </si>
  <si>
    <t>EPI PARA REJUNTADOR - HORISTA (ENCARGOS COMPLEMENTARES)</t>
  </si>
  <si>
    <t>PARAFUSO NIQUELADO 3 1/2" COM ACABAMENTO CROMADO PARA FIXAR PECA SANITARIA, INCLUI PORCA CEGA, ARRUELA E BUCHA DE NYLON TAMANHO S-8</t>
  </si>
  <si>
    <t>EPI - FAMILIA OPERADOR ESCAVADEIRA - HORISTA (ENCARGOS COMPLEMENTARES - COLETADO CAIXA)</t>
  </si>
  <si>
    <t>MATED- 11279</t>
  </si>
  <si>
    <t>DESMOLDANTE DE FORMAS DE MADEIRA PARA CONCRETO</t>
  </si>
  <si>
    <t>ED-14647</t>
  </si>
  <si>
    <t>EPI PARA ARMADOR - HORISTA (ENCARGOS COMPLEMENTARES)</t>
  </si>
  <si>
    <t>ED-5235</t>
  </si>
  <si>
    <t>CURSO DE CAPACITAÇÃO PARA PEDREIRO ( ENCARGOS COMPLEMENTARES) - HORISTA</t>
  </si>
  <si>
    <t>OPERADOR DE JATO ABRASIVO OU JATISTA</t>
  </si>
  <si>
    <t>ED-14684</t>
  </si>
  <si>
    <t>FERRAMENTAS PARA CARPINTEIRO DE FORMA - HORISTA (ENCARGOS COMPLEMENTARES)</t>
  </si>
  <si>
    <t>AJUDANTE ESPECIALIZADO</t>
  </si>
  <si>
    <t>JOELHO, PVC SERIE R, 90 GRAUS, DN 75 MM, PARA ESGOTO OU AGUAS PLUVIAIS PREDIAIS</t>
  </si>
  <si>
    <t>MOED- 20156</t>
  </si>
  <si>
    <t>TELHADISTA</t>
  </si>
  <si>
    <t>ED-14677</t>
  </si>
  <si>
    <t>EPI PARA OPERADOR DE BETONEIRA ESTACIONÁRIA - HORISTA (ENCARGOS COMPLEMENTARES)</t>
  </si>
  <si>
    <t>OPERADOR DE GUINCHO OU GUINCHEIRO</t>
  </si>
  <si>
    <t>MATED- 12043</t>
  </si>
  <si>
    <t>MATED- 11464</t>
  </si>
  <si>
    <t>ED-14646</t>
  </si>
  <si>
    <t>EPI PARA AJUDANTE DE ELETRICISTA - HORISTA ( ENCARGOS COMPLEMENTARES)</t>
  </si>
  <si>
    <t>ED-14650</t>
  </si>
  <si>
    <t>EPI PARA ELETRICISTA - HORISTA (ENCARGOS COMPLEMENTARES)</t>
  </si>
  <si>
    <t>MATED- 12313</t>
  </si>
  <si>
    <t>JOELHO, PVC SERIE R, 45 GRAUS, DN 75 MM, PARA ESGOTO OU AGUAS PLUVIAIS PREDIAIS</t>
  </si>
  <si>
    <t>ED-14683</t>
  </si>
  <si>
    <t>FERRAMENTAS PARA ARMADOR - HORISTA ( ENCARGOS COMPLEMENTARES)</t>
  </si>
  <si>
    <t>MARTELO DEMOLIDOR PNEUMATICO MANUAL, PESO DE 28 KG, COM SILENCIADOR</t>
  </si>
  <si>
    <t>MATED- 11262</t>
  </si>
  <si>
    <t>MATED- 17885</t>
  </si>
  <si>
    <t>TAMPA PARA CONDULETE ( MATERIAL: ALUMÍNIO|TIPO: INTERRUPTOR| QUANTIDADE DE POSTOS: 1|CONDULETES: 3/4"[20MM] |PARAFUSOS: INCLUSOS)</t>
  </si>
  <si>
    <t>MOED- 20137</t>
  </si>
  <si>
    <t>AJUDANTE DE TELHADISTA</t>
  </si>
  <si>
    <t>PEDRA BRITADA N. 0, OU PEDRISCO (4,8 A 9,5 MM) POSTO PEDREIRA/FORNECEDOR, SEM FRETE</t>
  </si>
  <si>
    <t>ED-14682</t>
  </si>
  <si>
    <t>FERRAMENTAS PARA AJUDANTE DE ELETRICISTA - HORISTA ( ENCARGOS COMPLEMENTARES)</t>
  </si>
  <si>
    <t>ED-14686</t>
  </si>
  <si>
    <t>FERRAMENTAS PARA ELETRICISTA - HORISTA ( ENCARGOS COMPLEMENTARES)</t>
  </si>
  <si>
    <t>ANEL BORRACHA, DN 75 MM, PARA TUBO SERIE REFORCADA ESGOTO PREDIAL</t>
  </si>
  <si>
    <t>REDUCAO EXCENTRICA PVC, SERIE R, DN 100 X 75 MM, PARA ESGOTO OU AGUAS PLUVIAIS PREDIAIS</t>
  </si>
  <si>
    <t>ED-5237</t>
  </si>
  <si>
    <t>CURSO DE CAPACITAÇÃO PARA AZULEJISTA OU LADRILHISTA (ENCARGOS COMPLEMENTARES) - HORISTA</t>
  </si>
  <si>
    <t>COMPRESSOR DE AR REBOCAVEL, VAZAO 189 PCM, PRESSAO EFETIVA DE TRABALHO 102 PSI, MOTOR DIESEL, POTENCIA 63 CV</t>
  </si>
  <si>
    <t>ED-14665</t>
  </si>
  <si>
    <t>EPI PARA AJUDANTE DE ARMADOR - HORISTA ( ENCARGOS COMPLEMENTARES)</t>
  </si>
  <si>
    <t>ED-14699</t>
  </si>
  <si>
    <t>FERRAMENTAS PARA REJUNTADOR - HORISTA ( ENCARGOS COMPLEMENTARES)</t>
  </si>
  <si>
    <t>TE, PVC, SERIE R, 75 X 75 MM, PARA ESGOTO OU AGUAS PLUVIAIS PREDIAIS</t>
  </si>
  <si>
    <t>ED-14702</t>
  </si>
  <si>
    <t>FERRAMENTAS PARA AJUDANTE DE CARPINTEIRO - HORISTA ( ENCARGOS COMPLEMENTARES)</t>
  </si>
  <si>
    <t>MATED- 12352</t>
  </si>
  <si>
    <t>MATED- 11334</t>
  </si>
  <si>
    <t>ED-5242</t>
  </si>
  <si>
    <t>CURSO DE CAPACITAÇÃO PARA PINTOR (ENCARGOS COMPLEMENTARES) - HORISTA</t>
  </si>
  <si>
    <t>ED-5233</t>
  </si>
  <si>
    <t>CURSO DE CAPACITAÇÃO PARA MONTADOR DE ESTRUTURA METÁLICA ( ENCARGOS COMPLEMENTARES) - HORISTA</t>
  </si>
  <si>
    <t>SIFAO PLASTICO TIPO COPO PARA TANQUE, 1.1/4 X 1.1/2 "</t>
  </si>
  <si>
    <t>ED-5224</t>
  </si>
  <si>
    <t>CURSO DE CAPACITAÇÃO PARA ELETRICISTA ( ENCARGOS COMPLEMENTARES) - HORISTA</t>
  </si>
  <si>
    <t>ED-5231</t>
  </si>
  <si>
    <t>CURSO DE CAPACITAÇÃO PARA CARPINTEIRO DE FÔRMAS (ENCARGOS COMPLEMENTARES) - HORISTA</t>
  </si>
  <si>
    <t>MATED- 11360</t>
  </si>
  <si>
    <t>ADITIVO IMPERMEABILIZANTE E PLASTIFICANTE EM PÓ PARA ARGAMASSAS</t>
  </si>
  <si>
    <t>ED-14701</t>
  </si>
  <si>
    <t>FERRAMENTAS PARA AJUDANTE DE ARMADOR - HORISTA (ENCARGOS COMPLEMENTARES)</t>
  </si>
  <si>
    <t>MATED- 12746</t>
  </si>
  <si>
    <t>MATED- 9299</t>
  </si>
  <si>
    <t>ESPAÇADOR/ DISTANCIADOR (MATERIAL: PLÁSTICO/COBRIMENTO: 30MM/TIPO: CIRCULAR ENTADA LATERAL/BITOLA AÇO: MENOR OU IGUAL 12, 5MM)</t>
  </si>
  <si>
    <t>MATED- 12792</t>
  </si>
  <si>
    <t>MATED- 12852</t>
  </si>
  <si>
    <t>EPI - FAMILIA CARPINTEIRO DE FORMAS - HORISTA (ENCARGOS COMPLEMENTARES - COLETADO CAIXA)</t>
  </si>
  <si>
    <t>GASOLINA COMUM</t>
  </si>
  <si>
    <t>AJUDANTE DE ESTRUTURAS METALICAS HORISTA</t>
  </si>
  <si>
    <t>ED-5225</t>
  </si>
  <si>
    <t>CURSO DE CAPACITAÇÃO PARA AUXILIAR DE ELETRICISTA (ENCARGOS COMPLEMENTARES) - HORISTA</t>
  </si>
  <si>
    <t>MATED- 9578</t>
  </si>
  <si>
    <t>MATED- 13014</t>
  </si>
  <si>
    <t>MITRA PVC RÍGIDO ( TERMINAL DE VENTILAÇÃO TIPO) 75 MM</t>
  </si>
  <si>
    <t>MATED- 11377</t>
  </si>
  <si>
    <t>MAQUINA TIPO VASO/TANQUE/JATO DE PRESSAO PORTATIL PARA JATEAMENTO, CONTROLE AUTOMATICO E REMOTO, CAMARA DE 1 SAIDA, 280 L, DIAM. *670* MM, BICO JATO CURTO VENTURI DE 5/16", MANGUEIRA DE 1" DE 10 M, COMPLETA (VALVULAS POP UP E DOSADORA, FUNDO CONICO ETC)</t>
  </si>
  <si>
    <t>ED-5254</t>
  </si>
  <si>
    <t>CURSO DE CAPACITAÇÃO PARA REJUNTADOR ( ENCARGOS COMPLEMENTARES)- HORISTA</t>
  </si>
  <si>
    <t>BETONEIRA CAPACIDADE NOMINAL 400 L, CAPACIDADE DE MISTURA 280 L, MOTOR ELETRICO TRIFASICO 220/380 V POTENCIA 2 CV, SEM CARREGADOR</t>
  </si>
  <si>
    <t>MATED- 11332</t>
  </si>
  <si>
    <t>ED-5228</t>
  </si>
  <si>
    <t>CURSO DE CAPACITAÇÃO PARA ARMADOR ( ENCARGOS COMPLEMENTARES) - HORISTA</t>
  </si>
  <si>
    <t>ED-5232</t>
  </si>
  <si>
    <t>CURSO DE CAPACITAÇÃO PARA AJUDANTE DE CARPINTEIRO (ENCARGOS COMPLEMENTARES) - HORISTA</t>
  </si>
  <si>
    <t>ENERGIA ELETRICA ATE 2000 KWH INDUSTRIAL, SEM DEMANDA</t>
  </si>
  <si>
    <t>KWH</t>
  </si>
  <si>
    <t>ED-8500</t>
  </si>
  <si>
    <t>CURSO DE CAPACITAÇÃO PARA OPERADOR DE BETONEIRA ESTACIONÁRIA (ENCARGOS COMPLEMENTARES)- HORISTA</t>
  </si>
  <si>
    <t>FERRAMENTAS - FAMILIA CARPINTEIRO DE FORMAS - HORISTA (ENCARGOS COMPLEMENTARES - COLETADO CAIXA)</t>
  </si>
  <si>
    <t>MATED- 9300</t>
  </si>
  <si>
    <t>ESPAÇADOR/ DISTANCIADOR (MATERIAL: PLÁSTICO/COBRIMENTO: 30MM/TIPO: CIRCULAR ENTADA LATERAL/BITOLA AÇO: MAIOR 12,5MM)</t>
  </si>
  <si>
    <t>MATED- 11613</t>
  </si>
  <si>
    <t>COMPACTADOR DE SOLOS DE PERCURSAO (SOQUETE) COM MOTOR A GASOLINA 4 TEMPOS DE 4 HP (4 CV)</t>
  </si>
  <si>
    <t>ENGATE/RABICHO FLEXIVEL PLASTICO (PVC OU ABS) BRANCO 1/2 " X 30 CM</t>
  </si>
  <si>
    <t>ED-14645</t>
  </si>
  <si>
    <t>EPI PARA AJUDANTE DE BOMBEIRO/ENCANADOR - HORISTA (ENCARGOS COMPLEMENTARES)</t>
  </si>
  <si>
    <t>ED-14651</t>
  </si>
  <si>
    <t>EPI PARA BOMBEIRO/ ENCANADOR - HORISTA ( ENCARGOS COMPLEMENTARES)</t>
  </si>
  <si>
    <t>VALVULA EM PLASTICO BRANCO PARA TANQUE OU LAVATORIO 1 ", SEM UNHO E SEM LADRAO</t>
  </si>
  <si>
    <t>ANEL BORRACHA PARA TUBO ESGOTO PREDIAL, DN 100 MM (NBR 5688)</t>
  </si>
  <si>
    <t>REJUNTE EPOXI, QUALQUER COR</t>
  </si>
  <si>
    <t>CAMINHAO TRUCADO, PESO BRUTO TOTAL 23000 KG, CARGA UTIL MAXIMA 15935 KG, DISTANCIA ENTRE EIXOS 4,80 M, POTENCIA 230 CV (INCLUI CABINE E CHASSI, NAO INCLUI CARROCERIA)</t>
  </si>
  <si>
    <t>ED-14667</t>
  </si>
  <si>
    <t>EPI PARA AJUDANTE DE TELHADISTA - HORISTA ( ENCARGOS COMPLEMENTARES)</t>
  </si>
  <si>
    <t>ED-14670</t>
  </si>
  <si>
    <t>EPI PARA TELHADISTA - HORISTA (ENCARGOS COMPLEMENTARES)</t>
  </si>
  <si>
    <t>ED-5229</t>
  </si>
  <si>
    <t>CURSO DE CAPACITAÇÃO PARA AJUDANTE DE ARMADOR (ENCARGOS COMPLEMENTARES) - HORISTA</t>
  </si>
  <si>
    <t>JUNCAO SIMPLES, PVC SERIE R, DN 75 X 75 MM, PARA ESGOTO OU AGUAS PLUVIAIS PREDIAIS</t>
  </si>
  <si>
    <t>JUNCAO SIMPLES, PVC SERIE R, DN 100 X 75 MM, PARA ESGOTO OU AGUAS PLUVIAIS PREDIAIS</t>
  </si>
  <si>
    <t>MATED- 11179</t>
  </si>
  <si>
    <t>VIBRADOR DE IMERSAO COM MANGOTE DE 45MM</t>
  </si>
  <si>
    <t>ED-14681</t>
  </si>
  <si>
    <t>FERRAMENTAS PARA AJUDANTE DE BOMBEIRO/ ENCANADOR - HORISTA ( ENCARGOS COMPLEMENTARES)</t>
  </si>
  <si>
    <t>ED-14687</t>
  </si>
  <si>
    <t>FERRAMENTAS PARA BOMBEIRO/ENCANADOR - HORISTA (ENCARGOS COMPLEMENTARES)</t>
  </si>
  <si>
    <t>ED-5251</t>
  </si>
  <si>
    <t>CURSO DE CAPACITAÇÃO PARA AJUDANTE DE PINTOR (ENCARGOS COMPLEMENTARES)- HORISTA</t>
  </si>
  <si>
    <t>ED-5226</t>
  </si>
  <si>
    <t>CURSO DE CAPACITAÇÃO PARA ENCANADOR OU BOMBEIRO HIDRÁULICO ( ENCARGOS COMPLEMENTARES) - HORISTA</t>
  </si>
  <si>
    <t>ED-14709</t>
  </si>
  <si>
    <t>FERRAMENTAS PARA MONTADOR - HORISTA ( ENCARGOS COMPLEMENTARES)</t>
  </si>
  <si>
    <t>VIBRADOR DE IMERSAO, DIAMETRO DA PONTEIRA DE *45* MM, COM MOTOR ELETRICO TRIFASICO DE 2 HP (2 CV)</t>
  </si>
  <si>
    <t>MOTORISTA DE CAMINHAO</t>
  </si>
  <si>
    <t>ED-14703</t>
  </si>
  <si>
    <t>FERRAMENTAS PARA AJUDANTE DE TELHADISTA - HORISTA (ENCARGOS COMPLEMENTARES)</t>
  </si>
  <si>
    <t>ED-14706</t>
  </si>
  <si>
    <t>FERRAMENTAS PARA TELHADISTA - HORISTA ( ENCARGOS COMPLEMENTARES)</t>
  </si>
  <si>
    <t>GUINCHO ELETRICO DE COLUNA, CAPACIDADE 400 KG, COM MOTO FREIO, MOTOR TRIFASICO DE 1,25 CV</t>
  </si>
  <si>
    <t>ED-5227</t>
  </si>
  <si>
    <t>CURSO DE CAPACITAÇÃO PARA AUXILIAR DE ENCANADOR OU BOMBEIRO HIDRÁULICO ( ENCARGOS COMPLEMENTARES) - HORISTA</t>
  </si>
  <si>
    <t>MATED- 11589</t>
  </si>
  <si>
    <t>FERRAMENTAS - FAMILIA OPERADOR ESCAVADEIRA - HORISTA (ENCARGOS COMPLEMENTARES - COLETADO CAIXA)</t>
  </si>
  <si>
    <t>TANQUE DE ACO CARBONO NAO REVESTIDO, PARA TRANSPORTE DE AGUA COM CAPACIDADE DE 10 M3, COM BOMBA CENTRIFUGA POR TOMADA DE FORCA, VAZAO MAXIMA *75* M3/H (INCLUI MONTAGEM, NAO INCLUI CAMINHAO)</t>
  </si>
  <si>
    <t>ED-14712</t>
  </si>
  <si>
    <t>FERRAMENTAS PARA OPERADOR DE BETONEIRA ESTACIONÁRIA - HORISTA (ENCARGOS COMPLEMENTARES)</t>
  </si>
  <si>
    <t>MATED- 11337</t>
  </si>
  <si>
    <t>BETONEIRA, CAPACIDADE NOMINAL 600 L, CAPACIDADE DE MISTURA 360L, MOTOR ELETRICO TRIFASICO 220/380V, POTENCIA 4CV, EXCLUSO CARREGADOR</t>
  </si>
  <si>
    <t>ED-5245</t>
  </si>
  <si>
    <t>CURSO DE CAPACITAÇÃO PARA TELHADISTA ( ENCARGOS COMPLEMENTARES) - HORISTA</t>
  </si>
  <si>
    <t>ED-5252</t>
  </si>
  <si>
    <t>CURSO DE CAPACITAÇÃO PARA AJUDANTE DE TELHADISTA (ENCARGOS COMPLEMENTARES)- HORISTA</t>
  </si>
  <si>
    <t>CURVA ABC DE SERVIÇOS</t>
  </si>
  <si>
    <t>Peso (%)</t>
  </si>
  <si>
    <t>Peso Acumulado (%)</t>
  </si>
  <si>
    <t>PESQUISAS DE MERCADO</t>
  </si>
  <si>
    <t>ABRIGO DE RESÍDUOS DE SERVIÇOS DE SAÚDE</t>
  </si>
  <si>
    <t>PESQUISAS</t>
  </si>
  <si>
    <t>FORNECEDOR</t>
  </si>
  <si>
    <t>PREÇO UNITÁRIO</t>
  </si>
  <si>
    <t>FRETE</t>
  </si>
  <si>
    <t>COMP-ABRIGO-01 (PM30)</t>
  </si>
  <si>
    <t>PM01</t>
  </si>
  <si>
    <t>HM CHUVEIROS</t>
  </si>
  <si>
    <t>R$ 1.490,00</t>
  </si>
  <si>
    <t>R$ 20,97</t>
  </si>
  <si>
    <t>R$ 1.510,97</t>
  </si>
  <si>
    <t>PM02</t>
  </si>
  <si>
    <t>PATAVO SUPRIMENTOS</t>
  </si>
  <si>
    <t>R$ 1.026,00</t>
  </si>
  <si>
    <t>R$ 64,00</t>
  </si>
  <si>
    <t>R$ 1.090,00</t>
  </si>
  <si>
    <t>PM03</t>
  </si>
  <si>
    <t>PROLAB</t>
  </si>
  <si>
    <t>R$ 1.198,00</t>
  </si>
  <si>
    <t>R$ 252,12</t>
  </si>
  <si>
    <t>R$ 1.450,12</t>
  </si>
  <si>
    <t>MÉDIA DOS ORÇAMENTOS</t>
  </si>
  <si>
    <t>R$ 1.350,36</t>
  </si>
  <si>
    <t>COMP-ABRIGO-02 (00000039)</t>
  </si>
  <si>
    <t>MAGAZINE LUIZA</t>
  </si>
  <si>
    <t>R$ 25,00</t>
  </si>
  <si>
    <t>R$ 12,90</t>
  </si>
  <si>
    <t>R$ 37,90</t>
  </si>
  <si>
    <t>SHOPTIME</t>
  </si>
  <si>
    <t>R$ 34,08</t>
  </si>
  <si>
    <t>R$ 18,99</t>
  </si>
  <si>
    <t>R$ 53,07</t>
  </si>
  <si>
    <t>LOJAS AMERICANAS</t>
  </si>
  <si>
    <t>R$ 16,96</t>
  </si>
  <si>
    <t>R$ 30,99</t>
  </si>
  <si>
    <t>R$ 47,95</t>
  </si>
  <si>
    <t>R$ 46,31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</si>
</sst>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R$ &quot;#,##0.00"/>
    <numFmt numFmtId="165" formatCode="_-&quot;R$ &quot;* #,##0.00_-;&quot;-R$ &quot;* #,##0.00_-;_-&quot;R$ &quot;* \-??_-;_-@"/>
    <numFmt numFmtId="166" formatCode="\$#,##0.00"/>
    <numFmt numFmtId="167" formatCode="_-* #,##0.00_-;\-* #,##0.00_-;_-* \-??_-;_-@"/>
    <numFmt numFmtId="168" formatCode="#,##0.00000"/>
    <numFmt numFmtId="169" formatCode="_(* #,##0.00_);_(* \(#,##0.00\);_(* \-??_);_(@_)"/>
  </numFmts>
  <fonts count="18">
    <font>
      <sz val="11"/>
      <color rgb="FF000000"/>
      <name val="Calibri"/>
      <family val="2"/>
      <charset val="1"/>
    </font>
    <font>
      <b/>
      <sz val="10"/>
      <color rgb="FF000000"/>
      <name val="Calibri"/>
      <family val="2"/>
      <charset val="1"/>
    </font>
    <font>
      <b/>
      <sz val="12"/>
      <color rgb="FF000000"/>
      <name val="Calibri"/>
      <family val="2"/>
      <charset val="1"/>
    </font>
    <font>
      <b/>
      <sz val="13"/>
      <color rgb="FF000000"/>
      <name val="Calibri"/>
      <family val="2"/>
      <charset val="1"/>
    </font>
    <font>
      <b/>
      <sz val="13"/>
      <color rgb="FFFF0000"/>
      <name val="Calibri"/>
      <family val="2"/>
      <charset val="1"/>
    </font>
    <font>
      <sz val="10"/>
      <color rgb="FF000000"/>
      <name val="Calibri"/>
      <family val="2"/>
      <charset val="1"/>
    </font>
    <font>
      <b/>
      <sz val="10"/>
      <color rgb="FFFF0000"/>
      <name val="Calibri"/>
      <family val="2"/>
      <charset val="1"/>
    </font>
    <font>
      <b/>
      <sz val="11"/>
      <color rgb="FF000000"/>
      <name val="Calibri"/>
      <family val="2"/>
      <charset val="1"/>
    </font>
    <font>
      <b/>
      <sz val="13"/>
      <color rgb="FF000000"/>
      <name val="Calibri, Arial"/>
      <charset val="1"/>
    </font>
    <font>
      <sz val="11"/>
      <color rgb="FF000000"/>
      <name val="Arial"/>
      <family val="2"/>
      <charset val="1"/>
    </font>
    <font>
      <b/>
      <sz val="11"/>
      <color rgb="FF000000"/>
      <name val="Arial"/>
      <family val="2"/>
      <charset val="1"/>
    </font>
    <font>
      <b/>
      <sz val="14"/>
      <color rgb="FF000000"/>
      <name val="Calibri"/>
      <family val="2"/>
      <charset val="1"/>
    </font>
    <font>
      <b/>
      <sz val="11"/>
      <color rgb="FFFF0000"/>
      <name val="Calibri"/>
      <family val="2"/>
      <charset val="1"/>
    </font>
    <font>
      <b/>
      <u/>
      <sz val="11"/>
      <color rgb="FF000000"/>
      <name val="Calibri"/>
      <family val="2"/>
      <charset val="1"/>
    </font>
    <font>
      <sz val="11"/>
      <color rgb="FFFF0000"/>
      <name val="Arial"/>
      <family val="2"/>
      <charset val="1"/>
    </font>
    <font>
      <sz val="11"/>
      <color theme="4"/>
      <name val="Arial"/>
      <family val="2"/>
      <charset val="1"/>
    </font>
    <font>
      <sz val="11"/>
      <name val="Arial"/>
      <family val="2"/>
      <charset val="1"/>
    </font>
    <font>
      <sz val="11"/>
      <color rgb="FF0070C0"/>
      <name val="Arial"/>
      <family val="2"/>
      <charset val="1"/>
    </font>
  </fonts>
  <fills count="13">
    <fill>
      <patternFill patternType="none"/>
    </fill>
    <fill>
      <patternFill patternType="gray125"/>
    </fill>
    <fill>
      <patternFill patternType="solid">
        <fgColor rgb="FFDBE5F1"/>
        <bgColor rgb="FFD8ECF6"/>
      </patternFill>
    </fill>
    <fill>
      <patternFill patternType="solid">
        <fgColor rgb="FFFFFFFF"/>
        <bgColor rgb="FFF7F3DF"/>
      </patternFill>
    </fill>
    <fill>
      <patternFill patternType="solid">
        <fgColor rgb="FFF2DBDB"/>
        <bgColor rgb="FFD6D6D6"/>
      </patternFill>
    </fill>
    <fill>
      <patternFill patternType="solid">
        <fgColor rgb="FFDAEEF3"/>
        <bgColor rgb="FFD8ECF6"/>
      </patternFill>
    </fill>
    <fill>
      <patternFill patternType="solid">
        <fgColor rgb="FFD8ECF6"/>
        <bgColor rgb="FFDAEEF3"/>
      </patternFill>
    </fill>
    <fill>
      <patternFill patternType="solid">
        <fgColor rgb="FFDFF0D8"/>
        <bgColor rgb="FFDAEEF3"/>
      </patternFill>
    </fill>
    <fill>
      <patternFill patternType="solid">
        <fgColor rgb="FFD6D6D6"/>
        <bgColor rgb="FFC9DAF8"/>
      </patternFill>
    </fill>
    <fill>
      <patternFill patternType="solid">
        <fgColor rgb="FFEFEFEF"/>
        <bgColor rgb="FFF7F3DF"/>
      </patternFill>
    </fill>
    <fill>
      <patternFill patternType="solid">
        <fgColor rgb="FFC9DAF8"/>
        <bgColor rgb="FFDBE5F1"/>
      </patternFill>
    </fill>
    <fill>
      <patternFill patternType="solid">
        <fgColor rgb="FFFFFF00"/>
        <bgColor rgb="FFFFFF00"/>
      </patternFill>
    </fill>
    <fill>
      <patternFill patternType="solid">
        <fgColor rgb="FFF7F3DF"/>
        <bgColor rgb="FFEFEFEF"/>
      </patternFill>
    </fill>
  </fills>
  <borders count="53">
    <border>
      <left/>
      <right/>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style="thin">
        <color auto="1"/>
      </top>
      <bottom/>
      <diagonal/>
    </border>
    <border>
      <left style="thin">
        <color auto="1"/>
      </left>
      <right style="thick">
        <color auto="1"/>
      </right>
      <top style="thin">
        <color auto="1"/>
      </top>
      <bottom/>
      <diagonal/>
    </border>
    <border>
      <left style="thick">
        <color auto="1"/>
      </left>
      <right style="thick">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ck">
        <color auto="1"/>
      </right>
      <top/>
      <bottom style="thin">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ck">
        <color auto="1"/>
      </right>
      <top style="thin">
        <color auto="1"/>
      </top>
      <bottom style="thin">
        <color auto="1"/>
      </bottom>
      <diagonal/>
    </border>
    <border>
      <left style="thick">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ck">
        <color auto="1"/>
      </right>
      <top/>
      <bottom style="thin">
        <color auto="1"/>
      </bottom>
      <diagonal/>
    </border>
    <border>
      <left style="thick">
        <color auto="1"/>
      </left>
      <right/>
      <top/>
      <bottom style="thin">
        <color auto="1"/>
      </bottom>
      <diagonal/>
    </border>
    <border>
      <left style="thick">
        <color auto="1"/>
      </left>
      <right/>
      <top/>
      <bottom/>
      <diagonal/>
    </border>
    <border>
      <left/>
      <right style="thick">
        <color auto="1"/>
      </right>
      <top/>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style="thin">
        <color auto="1"/>
      </right>
      <top style="thin">
        <color auto="1"/>
      </top>
      <bottom style="thick">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bottom/>
      <diagonal/>
    </border>
    <border>
      <left style="medium">
        <color auto="1"/>
      </left>
      <right/>
      <top style="thin">
        <color auto="1"/>
      </top>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rgb="FFD6D6D6"/>
      </left>
      <right style="thin">
        <color rgb="FFD6D6D6"/>
      </right>
      <top style="thin">
        <color rgb="FFD6D6D6"/>
      </top>
      <bottom style="thin">
        <color rgb="FFD6D6D6"/>
      </bottom>
      <diagonal/>
    </border>
  </borders>
  <cellStyleXfs count="1">
    <xf numFmtId="0" fontId="0" fillId="0" borderId="0"/>
  </cellStyleXfs>
  <cellXfs count="349">
    <xf numFmtId="0" fontId="0" fillId="0" borderId="0" xfId="0"/>
    <xf numFmtId="164" fontId="2" fillId="2" borderId="3" xfId="0" applyNumberFormat="1" applyFont="1" applyFill="1" applyBorder="1" applyAlignment="1">
      <alignment horizontal="center" vertical="center" wrapText="1"/>
    </xf>
    <xf numFmtId="10" fontId="1" fillId="2" borderId="6" xfId="0" applyNumberFormat="1" applyFont="1" applyFill="1" applyBorder="1" applyAlignment="1">
      <alignment horizontal="center" vertical="center" wrapText="1"/>
    </xf>
    <xf numFmtId="4" fontId="1" fillId="2" borderId="7" xfId="0" applyNumberFormat="1" applyFont="1" applyFill="1" applyBorder="1" applyAlignment="1">
      <alignment horizontal="center" vertical="center"/>
    </xf>
    <xf numFmtId="4" fontId="1" fillId="2" borderId="8" xfId="0" applyNumberFormat="1" applyFont="1" applyFill="1" applyBorder="1" applyAlignment="1">
      <alignment horizontal="center" vertical="center" wrapText="1"/>
    </xf>
    <xf numFmtId="4" fontId="1" fillId="2" borderId="8" xfId="0" applyNumberFormat="1" applyFont="1" applyFill="1" applyBorder="1" applyAlignment="1">
      <alignment horizontal="center" vertical="center"/>
    </xf>
    <xf numFmtId="4" fontId="1" fillId="2" borderId="9" xfId="0" applyNumberFormat="1" applyFont="1" applyFill="1" applyBorder="1" applyAlignment="1">
      <alignment horizontal="center" vertical="center"/>
    </xf>
    <xf numFmtId="164" fontId="1" fillId="2" borderId="9" xfId="0" applyNumberFormat="1" applyFont="1" applyFill="1" applyBorder="1" applyAlignment="1">
      <alignment horizontal="center" vertical="center" wrapText="1"/>
    </xf>
    <xf numFmtId="164" fontId="1" fillId="2" borderId="10" xfId="0" applyNumberFormat="1" applyFont="1" applyFill="1" applyBorder="1" applyAlignment="1">
      <alignment horizontal="center" vertical="center" wrapText="1"/>
    </xf>
    <xf numFmtId="1" fontId="1" fillId="2" borderId="7" xfId="0" applyNumberFormat="1" applyFont="1" applyFill="1" applyBorder="1" applyAlignment="1">
      <alignment horizontal="center" vertical="center"/>
    </xf>
    <xf numFmtId="1" fontId="1" fillId="2" borderId="8" xfId="0" applyNumberFormat="1" applyFont="1" applyFill="1" applyBorder="1" applyAlignment="1">
      <alignment horizontal="left" vertical="center" wrapText="1"/>
    </xf>
    <xf numFmtId="4" fontId="1" fillId="2" borderId="5" xfId="0" applyNumberFormat="1" applyFont="1" applyFill="1" applyBorder="1" applyAlignment="1">
      <alignment horizontal="left" vertical="center" wrapText="1"/>
    </xf>
    <xf numFmtId="164" fontId="1" fillId="2" borderId="5" xfId="0" applyNumberFormat="1" applyFont="1" applyFill="1" applyBorder="1" applyAlignment="1">
      <alignment horizontal="center" vertical="center" wrapText="1"/>
    </xf>
    <xf numFmtId="164" fontId="1" fillId="2" borderId="6" xfId="0" applyNumberFormat="1" applyFont="1" applyFill="1" applyBorder="1" applyAlignment="1">
      <alignment horizontal="left" vertical="center" wrapText="1"/>
    </xf>
    <xf numFmtId="1" fontId="5" fillId="3" borderId="4"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left" vertical="center" wrapText="1"/>
    </xf>
    <xf numFmtId="0" fontId="5" fillId="0" borderId="5" xfId="0" applyFont="1" applyBorder="1" applyAlignment="1">
      <alignment horizontal="center" vertical="center" shrinkToFit="1"/>
    </xf>
    <xf numFmtId="10" fontId="5" fillId="0" borderId="0" xfId="0" applyNumberFormat="1" applyFont="1" applyAlignment="1">
      <alignment horizontal="center" vertical="center"/>
    </xf>
    <xf numFmtId="164" fontId="5" fillId="3" borderId="5" xfId="0" applyNumberFormat="1" applyFont="1" applyFill="1" applyBorder="1" applyAlignment="1">
      <alignment horizontal="center" vertical="center"/>
    </xf>
    <xf numFmtId="164" fontId="5" fillId="0" borderId="6" xfId="0" applyNumberFormat="1" applyFont="1" applyBorder="1" applyAlignment="1">
      <alignment horizontal="right" vertical="center" shrinkToFit="1"/>
    </xf>
    <xf numFmtId="164" fontId="1" fillId="2" borderId="12" xfId="0" applyNumberFormat="1" applyFont="1" applyFill="1" applyBorder="1" applyAlignment="1">
      <alignment horizontal="right" vertical="center" shrinkToFit="1"/>
    </xf>
    <xf numFmtId="1" fontId="1" fillId="2" borderId="15" xfId="0" applyNumberFormat="1" applyFont="1" applyFill="1" applyBorder="1" applyAlignment="1">
      <alignment vertical="center" wrapText="1"/>
    </xf>
    <xf numFmtId="4" fontId="1" fillId="2" borderId="15" xfId="0" applyNumberFormat="1" applyFont="1" applyFill="1" applyBorder="1" applyAlignment="1">
      <alignment vertical="center" wrapText="1"/>
    </xf>
    <xf numFmtId="164" fontId="1" fillId="2" borderId="15" xfId="0" applyNumberFormat="1" applyFont="1" applyFill="1" applyBorder="1" applyAlignment="1">
      <alignment horizontal="center" vertical="center" wrapText="1"/>
    </xf>
    <xf numFmtId="164" fontId="1" fillId="2" borderId="16" xfId="0" applyNumberFormat="1" applyFont="1" applyFill="1" applyBorder="1" applyAlignment="1">
      <alignment vertical="center" wrapText="1"/>
    </xf>
    <xf numFmtId="1" fontId="5" fillId="3" borderId="17" xfId="0" applyNumberFormat="1" applyFont="1" applyFill="1" applyBorder="1" applyAlignment="1">
      <alignment horizontal="center" vertical="center"/>
    </xf>
    <xf numFmtId="0" fontId="5" fillId="0" borderId="18" xfId="0" applyFont="1" applyBorder="1" applyAlignment="1">
      <alignment horizontal="center" vertical="center" shrinkToFit="1"/>
    </xf>
    <xf numFmtId="4" fontId="5" fillId="0" borderId="5" xfId="0" applyNumberFormat="1" applyFont="1" applyBorder="1" applyAlignment="1">
      <alignment horizontal="center" vertical="center"/>
    </xf>
    <xf numFmtId="164" fontId="5" fillId="3" borderId="19" xfId="0" applyNumberFormat="1" applyFont="1" applyFill="1" applyBorder="1" applyAlignment="1">
      <alignment horizontal="center" vertical="center"/>
    </xf>
    <xf numFmtId="164" fontId="1" fillId="2" borderId="6" xfId="0" applyNumberFormat="1" applyFont="1" applyFill="1" applyBorder="1" applyAlignment="1">
      <alignment horizontal="right" vertical="center"/>
    </xf>
    <xf numFmtId="1" fontId="1" fillId="2" borderId="4" xfId="0" applyNumberFormat="1" applyFont="1" applyFill="1" applyBorder="1" applyAlignment="1">
      <alignment horizontal="center" vertical="center"/>
    </xf>
    <xf numFmtId="0" fontId="1" fillId="2" borderId="18" xfId="0" applyFont="1" applyFill="1" applyBorder="1" applyAlignment="1">
      <alignment vertical="center" wrapText="1"/>
    </xf>
    <xf numFmtId="4" fontId="1" fillId="2" borderId="18" xfId="0" applyNumberFormat="1" applyFont="1" applyFill="1" applyBorder="1" applyAlignment="1">
      <alignment vertical="center" wrapText="1"/>
    </xf>
    <xf numFmtId="164" fontId="1" fillId="2" borderId="18" xfId="0" applyNumberFormat="1" applyFont="1" applyFill="1" applyBorder="1" applyAlignment="1">
      <alignment horizontal="center" vertical="center" wrapText="1"/>
    </xf>
    <xf numFmtId="164" fontId="1" fillId="2" borderId="21" xfId="0" applyNumberFormat="1" applyFont="1" applyFill="1" applyBorder="1" applyAlignment="1">
      <alignment vertical="center" wrapText="1"/>
    </xf>
    <xf numFmtId="0" fontId="5" fillId="0" borderId="4" xfId="0" applyFont="1" applyBorder="1" applyAlignment="1">
      <alignment horizontal="center" vertical="center"/>
    </xf>
    <xf numFmtId="0" fontId="5" fillId="0" borderId="5" xfId="0" applyFont="1" applyBorder="1" applyAlignment="1">
      <alignment horizontal="lef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19" xfId="0" applyNumberFormat="1" applyFont="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4" fontId="1" fillId="2" borderId="5" xfId="0" applyNumberFormat="1" applyFont="1" applyFill="1" applyBorder="1" applyAlignment="1">
      <alignment horizontal="center" vertical="center"/>
    </xf>
    <xf numFmtId="164" fontId="1" fillId="2" borderId="19" xfId="0" applyNumberFormat="1" applyFont="1" applyFill="1" applyBorder="1" applyAlignment="1">
      <alignment horizontal="center" vertical="center"/>
    </xf>
    <xf numFmtId="164" fontId="6" fillId="2" borderId="6" xfId="0" applyNumberFormat="1" applyFont="1" applyFill="1" applyBorder="1" applyAlignment="1">
      <alignment horizontal="right" vertical="center" shrinkToFit="1"/>
    </xf>
    <xf numFmtId="0" fontId="5" fillId="3" borderId="4" xfId="0" applyFont="1" applyFill="1" applyBorder="1" applyAlignment="1">
      <alignment horizontal="center" vertical="center"/>
    </xf>
    <xf numFmtId="0" fontId="5" fillId="0" borderId="20" xfId="0" applyFont="1" applyBorder="1" applyAlignment="1">
      <alignment horizontal="center" vertical="center" wrapText="1"/>
    </xf>
    <xf numFmtId="0" fontId="5" fillId="3" borderId="5" xfId="0" applyFont="1" applyFill="1" applyBorder="1" applyAlignment="1">
      <alignment horizontal="left" vertical="center" wrapText="1"/>
    </xf>
    <xf numFmtId="0" fontId="5" fillId="3" borderId="5" xfId="0" applyFont="1" applyFill="1" applyBorder="1" applyAlignment="1">
      <alignment horizontal="center" vertical="center" wrapText="1"/>
    </xf>
    <xf numFmtId="4" fontId="5" fillId="3" borderId="5"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0" fontId="5" fillId="0" borderId="19" xfId="0" applyFont="1" applyBorder="1" applyAlignment="1">
      <alignment horizontal="left" vertical="center" wrapText="1"/>
    </xf>
    <xf numFmtId="1" fontId="5" fillId="3" borderId="20" xfId="0" applyNumberFormat="1" applyFont="1" applyFill="1" applyBorder="1" applyAlignment="1">
      <alignment horizontal="center" vertical="center" wrapText="1"/>
    </xf>
    <xf numFmtId="0" fontId="0" fillId="0" borderId="0" xfId="0" applyFont="1" applyAlignment="1">
      <alignment horizontal="center"/>
    </xf>
    <xf numFmtId="0" fontId="5" fillId="0" borderId="22" xfId="0" applyFont="1" applyBorder="1" applyAlignment="1">
      <alignment horizontal="center" vertical="center"/>
    </xf>
    <xf numFmtId="164" fontId="5" fillId="0" borderId="23" xfId="0" applyNumberFormat="1" applyFont="1" applyBorder="1" applyAlignment="1">
      <alignment horizontal="center" vertical="center"/>
    </xf>
    <xf numFmtId="164" fontId="1" fillId="2" borderId="12" xfId="0" applyNumberFormat="1" applyFont="1" applyFill="1" applyBorder="1" applyAlignment="1">
      <alignment horizontal="right" vertical="center"/>
    </xf>
    <xf numFmtId="0" fontId="5" fillId="0" borderId="17" xfId="0" applyFont="1" applyBorder="1" applyAlignment="1">
      <alignment horizontal="center" vertical="center"/>
    </xf>
    <xf numFmtId="1" fontId="5" fillId="3" borderId="18" xfId="0" applyNumberFormat="1" applyFont="1" applyFill="1" applyBorder="1" applyAlignment="1">
      <alignment horizontal="center" vertical="center" wrapText="1"/>
    </xf>
    <xf numFmtId="0" fontId="5" fillId="0" borderId="18" xfId="0" applyFont="1" applyBorder="1" applyAlignment="1">
      <alignment horizontal="left" vertical="center" wrapText="1"/>
    </xf>
    <xf numFmtId="0" fontId="5" fillId="0" borderId="18" xfId="0" applyFont="1" applyBorder="1" applyAlignment="1">
      <alignment horizontal="center" vertical="center"/>
    </xf>
    <xf numFmtId="4" fontId="5" fillId="0" borderId="18" xfId="0" applyNumberFormat="1" applyFont="1" applyBorder="1" applyAlignment="1">
      <alignment horizontal="center" vertical="center"/>
    </xf>
    <xf numFmtId="164" fontId="5" fillId="0" borderId="18" xfId="0" applyNumberFormat="1" applyFont="1" applyBorder="1" applyAlignment="1">
      <alignment horizontal="center" vertical="center"/>
    </xf>
    <xf numFmtId="164" fontId="5" fillId="0" borderId="21" xfId="0" applyNumberFormat="1" applyFont="1" applyBorder="1" applyAlignment="1">
      <alignment horizontal="right" vertical="center" shrinkToFit="1"/>
    </xf>
    <xf numFmtId="4" fontId="5" fillId="3" borderId="5" xfId="0" applyNumberFormat="1" applyFont="1" applyFill="1" applyBorder="1" applyAlignment="1">
      <alignment horizontal="center" vertical="center"/>
    </xf>
    <xf numFmtId="0" fontId="5" fillId="3" borderId="18" xfId="0" applyFont="1" applyFill="1" applyBorder="1" applyAlignment="1">
      <alignment horizontal="center" vertical="center" wrapText="1"/>
    </xf>
    <xf numFmtId="0" fontId="1" fillId="2" borderId="8" xfId="0" applyFont="1" applyFill="1" applyBorder="1" applyAlignment="1">
      <alignment horizontal="center" vertical="center"/>
    </xf>
    <xf numFmtId="164" fontId="1" fillId="2" borderId="24" xfId="0" applyNumberFormat="1" applyFont="1" applyFill="1" applyBorder="1" applyAlignment="1">
      <alignment horizontal="center" vertical="center"/>
    </xf>
    <xf numFmtId="164" fontId="1" fillId="2" borderId="25" xfId="0" applyNumberFormat="1" applyFont="1" applyFill="1" applyBorder="1" applyAlignment="1">
      <alignment horizontal="right" vertical="center" shrinkToFit="1"/>
    </xf>
    <xf numFmtId="0" fontId="5" fillId="3" borderId="5" xfId="0" applyFont="1" applyFill="1" applyBorder="1" applyAlignment="1">
      <alignment horizontal="center" vertical="center"/>
    </xf>
    <xf numFmtId="1" fontId="5" fillId="3" borderId="26" xfId="0" applyNumberFormat="1" applyFont="1" applyFill="1" applyBorder="1" applyAlignment="1">
      <alignment horizontal="center" vertical="center"/>
    </xf>
    <xf numFmtId="3" fontId="5" fillId="0" borderId="5" xfId="0" applyNumberFormat="1" applyFont="1" applyBorder="1" applyAlignment="1">
      <alignment horizontal="center" vertical="center"/>
    </xf>
    <xf numFmtId="166" fontId="5" fillId="0" borderId="5" xfId="0" applyNumberFormat="1" applyFont="1" applyBorder="1" applyAlignment="1">
      <alignment horizontal="center" vertical="center"/>
    </xf>
    <xf numFmtId="1" fontId="5" fillId="3" borderId="27" xfId="0" applyNumberFormat="1" applyFont="1" applyFill="1" applyBorder="1" applyAlignment="1">
      <alignment horizontal="center" vertical="center"/>
    </xf>
    <xf numFmtId="0" fontId="5" fillId="3" borderId="0" xfId="0" applyFont="1" applyFill="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4" fontId="5" fillId="0" borderId="0" xfId="0" applyNumberFormat="1" applyFont="1" applyAlignment="1">
      <alignment horizontal="center" vertical="center"/>
    </xf>
    <xf numFmtId="164" fontId="5" fillId="0" borderId="0" xfId="0" applyNumberFormat="1" applyFont="1" applyAlignment="1">
      <alignment horizontal="center" vertical="center"/>
    </xf>
    <xf numFmtId="164" fontId="5" fillId="0" borderId="28" xfId="0" applyNumberFormat="1" applyFont="1" applyBorder="1" applyAlignment="1">
      <alignment horizontal="right" vertical="center" shrinkToFit="1"/>
    </xf>
    <xf numFmtId="164" fontId="1" fillId="2" borderId="5" xfId="0" applyNumberFormat="1" applyFont="1" applyFill="1" applyBorder="1" applyAlignment="1">
      <alignment horizontal="center" vertical="center"/>
    </xf>
    <xf numFmtId="164" fontId="1" fillId="4" borderId="6" xfId="0" applyNumberFormat="1" applyFont="1" applyFill="1" applyBorder="1" applyAlignment="1">
      <alignment horizontal="right" vertical="center"/>
    </xf>
    <xf numFmtId="164" fontId="1" fillId="4" borderId="30" xfId="0" applyNumberFormat="1" applyFont="1" applyFill="1" applyBorder="1" applyAlignment="1">
      <alignment horizontal="right" vertical="center"/>
    </xf>
    <xf numFmtId="0" fontId="7" fillId="0" borderId="0" xfId="0" applyFont="1"/>
    <xf numFmtId="0" fontId="2" fillId="5" borderId="0" xfId="0" applyFont="1" applyFill="1" applyAlignment="1">
      <alignment horizontal="center" vertical="center" wrapText="1"/>
    </xf>
    <xf numFmtId="0" fontId="0" fillId="0" borderId="0" xfId="0" applyFont="1" applyAlignment="1">
      <alignment vertical="center"/>
    </xf>
    <xf numFmtId="0" fontId="7" fillId="5" borderId="0" xfId="0" applyFont="1" applyFill="1" applyAlignment="1">
      <alignment horizontal="center" vertical="center" wrapText="1"/>
    </xf>
    <xf numFmtId="0" fontId="9" fillId="3" borderId="8" xfId="0" applyFont="1" applyFill="1" applyBorder="1" applyAlignment="1">
      <alignment vertical="center"/>
    </xf>
    <xf numFmtId="0" fontId="9" fillId="0" borderId="0" xfId="0" applyFont="1" applyAlignment="1">
      <alignment vertical="center"/>
    </xf>
    <xf numFmtId="168" fontId="9" fillId="0" borderId="0" xfId="0" applyNumberFormat="1" applyFont="1" applyAlignment="1">
      <alignment horizontal="center" vertical="center"/>
    </xf>
    <xf numFmtId="0" fontId="9" fillId="0" borderId="0" xfId="0" applyFont="1" applyAlignment="1">
      <alignment horizontal="center" vertical="center"/>
    </xf>
    <xf numFmtId="0" fontId="10" fillId="6" borderId="0" xfId="0" applyFont="1" applyFill="1" applyAlignment="1">
      <alignment horizontal="center" vertical="center" wrapText="1"/>
    </xf>
    <xf numFmtId="0" fontId="10" fillId="6" borderId="0" xfId="0" applyFont="1" applyFill="1" applyAlignment="1">
      <alignment vertical="center" wrapText="1"/>
    </xf>
    <xf numFmtId="0" fontId="9" fillId="6" borderId="0" xfId="0" applyFont="1" applyFill="1" applyAlignment="1">
      <alignment vertical="center"/>
    </xf>
    <xf numFmtId="168" fontId="10" fillId="6" borderId="0" xfId="0" applyNumberFormat="1" applyFont="1" applyFill="1" applyAlignment="1">
      <alignment horizontal="center" vertical="center" wrapText="1"/>
    </xf>
    <xf numFmtId="4" fontId="9" fillId="6" borderId="0" xfId="0" applyNumberFormat="1" applyFont="1" applyFill="1" applyAlignment="1">
      <alignment horizontal="center" vertical="center"/>
    </xf>
    <xf numFmtId="0" fontId="10" fillId="3" borderId="0" xfId="0" applyFont="1" applyFill="1" applyAlignment="1">
      <alignment horizontal="center" vertical="center" wrapText="1"/>
    </xf>
    <xf numFmtId="0" fontId="10" fillId="3" borderId="0" xfId="0" applyFont="1" applyFill="1" applyAlignment="1">
      <alignment vertical="center" wrapText="1"/>
    </xf>
    <xf numFmtId="168" fontId="10" fillId="3" borderId="0" xfId="0" applyNumberFormat="1" applyFont="1" applyFill="1" applyAlignment="1">
      <alignment horizontal="center" vertical="center" wrapText="1"/>
    </xf>
    <xf numFmtId="0" fontId="9" fillId="7" borderId="0" xfId="0" applyFont="1" applyFill="1" applyAlignment="1">
      <alignment horizontal="center" vertical="center" wrapText="1"/>
    </xf>
    <xf numFmtId="0" fontId="9" fillId="7" borderId="0" xfId="0" applyFont="1" applyFill="1" applyAlignment="1">
      <alignment vertical="center" wrapText="1"/>
    </xf>
    <xf numFmtId="168" fontId="9" fillId="7" borderId="0" xfId="0" applyNumberFormat="1" applyFont="1" applyFill="1" applyAlignment="1">
      <alignment horizontal="center" vertical="center" wrapText="1"/>
    </xf>
    <xf numFmtId="4" fontId="9" fillId="7" borderId="0" xfId="0" applyNumberFormat="1" applyFont="1" applyFill="1" applyAlignment="1">
      <alignment horizontal="center" vertical="center" wrapText="1"/>
    </xf>
    <xf numFmtId="0" fontId="9" fillId="3" borderId="0" xfId="0" applyFont="1" applyFill="1" applyAlignment="1">
      <alignment vertical="center"/>
    </xf>
    <xf numFmtId="168" fontId="9" fillId="3" borderId="0" xfId="0" applyNumberFormat="1" applyFont="1" applyFill="1" applyAlignment="1">
      <alignment horizontal="center" vertical="center"/>
    </xf>
    <xf numFmtId="0" fontId="9" fillId="3" borderId="0" xfId="0" applyFont="1" applyFill="1" applyAlignment="1">
      <alignment horizontal="center" vertical="center"/>
    </xf>
    <xf numFmtId="4" fontId="9" fillId="3" borderId="0" xfId="0" applyNumberFormat="1" applyFont="1" applyFill="1" applyAlignment="1">
      <alignment horizontal="center" vertical="center"/>
    </xf>
    <xf numFmtId="0" fontId="9" fillId="7" borderId="0" xfId="0" applyFont="1" applyFill="1" applyAlignment="1">
      <alignment vertical="center"/>
    </xf>
    <xf numFmtId="168" fontId="9" fillId="7" borderId="0" xfId="0" applyNumberFormat="1" applyFont="1" applyFill="1" applyAlignment="1">
      <alignment horizontal="center" vertical="center"/>
    </xf>
    <xf numFmtId="0" fontId="9" fillId="7" borderId="0" xfId="0" applyFont="1" applyFill="1" applyAlignment="1">
      <alignment horizontal="center" vertical="center"/>
    </xf>
    <xf numFmtId="0" fontId="9" fillId="8" borderId="0" xfId="0" applyFont="1" applyFill="1" applyAlignment="1">
      <alignment horizontal="center" vertical="center" wrapText="1"/>
    </xf>
    <xf numFmtId="0" fontId="9" fillId="8" borderId="0" xfId="0" applyFont="1" applyFill="1" applyAlignment="1">
      <alignment vertical="center" wrapText="1"/>
    </xf>
    <xf numFmtId="168" fontId="9" fillId="8" borderId="0" xfId="0" applyNumberFormat="1" applyFont="1" applyFill="1" applyAlignment="1">
      <alignment horizontal="center" vertical="center" wrapText="1"/>
    </xf>
    <xf numFmtId="4" fontId="9" fillId="8" borderId="0" xfId="0" applyNumberFormat="1" applyFont="1" applyFill="1" applyAlignment="1">
      <alignment horizontal="center" vertical="center" wrapText="1"/>
    </xf>
    <xf numFmtId="0" fontId="9" fillId="9" borderId="0" xfId="0" applyFont="1" applyFill="1" applyAlignment="1">
      <alignment horizontal="center" vertical="center" wrapText="1"/>
    </xf>
    <xf numFmtId="0" fontId="9" fillId="9" borderId="0" xfId="0" applyFont="1" applyFill="1" applyAlignment="1">
      <alignment vertical="center" wrapText="1"/>
    </xf>
    <xf numFmtId="168" fontId="9" fillId="9" borderId="0" xfId="0" applyNumberFormat="1" applyFont="1" applyFill="1" applyAlignment="1">
      <alignment horizontal="center" vertical="center" wrapText="1"/>
    </xf>
    <xf numFmtId="4" fontId="9" fillId="9" borderId="0" xfId="0" applyNumberFormat="1" applyFont="1" applyFill="1" applyAlignment="1">
      <alignment horizontal="center" vertical="center" wrapText="1"/>
    </xf>
    <xf numFmtId="4" fontId="9" fillId="7" borderId="0" xfId="0" applyNumberFormat="1" applyFont="1" applyFill="1" applyAlignment="1">
      <alignment horizontal="center" vertical="center"/>
    </xf>
    <xf numFmtId="4" fontId="9" fillId="9" borderId="0" xfId="0" applyNumberFormat="1" applyFont="1" applyFill="1" applyAlignment="1">
      <alignment horizontal="center" vertical="center"/>
    </xf>
    <xf numFmtId="4" fontId="9" fillId="8" borderId="0" xfId="0" applyNumberFormat="1" applyFont="1" applyFill="1" applyAlignment="1">
      <alignment horizontal="center" vertical="center"/>
    </xf>
    <xf numFmtId="0" fontId="0" fillId="0" borderId="0" xfId="0" applyFont="1" applyAlignment="1">
      <alignment wrapText="1"/>
    </xf>
    <xf numFmtId="49" fontId="1" fillId="0" borderId="4" xfId="0" applyNumberFormat="1" applyFont="1" applyBorder="1" applyAlignment="1">
      <alignment horizontal="center"/>
    </xf>
    <xf numFmtId="0" fontId="1" fillId="0" borderId="5" xfId="0" applyFont="1" applyBorder="1" applyAlignment="1">
      <alignment horizontal="center" vertical="center"/>
    </xf>
    <xf numFmtId="0" fontId="5" fillId="0" borderId="0" xfId="0" applyFont="1"/>
    <xf numFmtId="10" fontId="1" fillId="0" borderId="5" xfId="0" applyNumberFormat="1" applyFont="1" applyBorder="1" applyAlignment="1">
      <alignment horizontal="center"/>
    </xf>
    <xf numFmtId="164" fontId="1" fillId="0" borderId="5" xfId="0" applyNumberFormat="1" applyFont="1" applyBorder="1" applyAlignment="1">
      <alignment horizontal="center" vertical="center"/>
    </xf>
    <xf numFmtId="0" fontId="1" fillId="2" borderId="5" xfId="0" applyFont="1" applyFill="1" applyBorder="1" applyAlignment="1">
      <alignment horizontal="center"/>
    </xf>
    <xf numFmtId="0" fontId="1" fillId="3" borderId="5" xfId="0" applyFont="1" applyFill="1" applyBorder="1" applyAlignment="1">
      <alignment horizontal="center"/>
    </xf>
    <xf numFmtId="0" fontId="1" fillId="3" borderId="6" xfId="0" applyFont="1" applyFill="1" applyBorder="1" applyAlignment="1">
      <alignment horizontal="center"/>
    </xf>
    <xf numFmtId="1" fontId="7" fillId="0" borderId="4" xfId="0" applyNumberFormat="1" applyFont="1" applyBorder="1" applyAlignment="1">
      <alignment horizontal="center" vertical="center"/>
    </xf>
    <xf numFmtId="1" fontId="1" fillId="0" borderId="5" xfId="0" applyNumberFormat="1" applyFont="1" applyBorder="1" applyAlignment="1">
      <alignment horizontal="left" vertical="center" wrapText="1"/>
    </xf>
    <xf numFmtId="10" fontId="1" fillId="3" borderId="5" xfId="0" applyNumberFormat="1" applyFont="1" applyFill="1" applyBorder="1" applyAlignment="1">
      <alignment horizontal="center" vertical="center"/>
    </xf>
    <xf numFmtId="10" fontId="5" fillId="2" borderId="5" xfId="0" applyNumberFormat="1" applyFont="1" applyFill="1" applyBorder="1" applyAlignment="1">
      <alignment horizontal="center" vertical="center"/>
    </xf>
    <xf numFmtId="164" fontId="5" fillId="2" borderId="5" xfId="0" applyNumberFormat="1" applyFont="1" applyFill="1" applyBorder="1" applyAlignment="1">
      <alignment horizontal="center" vertical="center"/>
    </xf>
    <xf numFmtId="10" fontId="5" fillId="3" borderId="5" xfId="0" applyNumberFormat="1" applyFont="1" applyFill="1" applyBorder="1" applyAlignment="1">
      <alignment horizontal="center" vertical="center"/>
    </xf>
    <xf numFmtId="164" fontId="5" fillId="0" borderId="5" xfId="0" applyNumberFormat="1" applyFont="1" applyBorder="1" applyAlignment="1">
      <alignment horizontal="center" vertical="center"/>
    </xf>
    <xf numFmtId="164" fontId="5" fillId="0" borderId="6" xfId="0" applyNumberFormat="1" applyFont="1" applyBorder="1" applyAlignment="1">
      <alignment horizontal="center" vertical="center"/>
    </xf>
    <xf numFmtId="10" fontId="5" fillId="0" borderId="0" xfId="0" applyNumberFormat="1" applyFont="1"/>
    <xf numFmtId="1" fontId="1" fillId="3" borderId="5" xfId="0" applyNumberFormat="1" applyFont="1" applyFill="1" applyBorder="1" applyAlignment="1">
      <alignment horizontal="left" vertical="center" wrapText="1"/>
    </xf>
    <xf numFmtId="1" fontId="7" fillId="10" borderId="4" xfId="0" applyNumberFormat="1" applyFont="1" applyFill="1" applyBorder="1" applyAlignment="1">
      <alignment horizontal="center" vertical="center"/>
    </xf>
    <xf numFmtId="1" fontId="1" fillId="10" borderId="5" xfId="0" applyNumberFormat="1" applyFont="1" applyFill="1" applyBorder="1" applyAlignment="1">
      <alignment horizontal="left" vertical="center" wrapText="1"/>
    </xf>
    <xf numFmtId="10" fontId="1" fillId="10" borderId="5" xfId="0" applyNumberFormat="1" applyFont="1" applyFill="1" applyBorder="1" applyAlignment="1">
      <alignment horizontal="center" vertical="center"/>
    </xf>
    <xf numFmtId="164" fontId="1" fillId="10" borderId="5" xfId="0" applyNumberFormat="1" applyFont="1" applyFill="1" applyBorder="1" applyAlignment="1">
      <alignment horizontal="center" vertical="center"/>
    </xf>
    <xf numFmtId="10" fontId="5" fillId="10" borderId="5" xfId="0" applyNumberFormat="1" applyFont="1" applyFill="1" applyBorder="1" applyAlignment="1">
      <alignment horizontal="center" vertical="center"/>
    </xf>
    <xf numFmtId="164" fontId="5" fillId="10" borderId="5" xfId="0" applyNumberFormat="1" applyFont="1" applyFill="1" applyBorder="1" applyAlignment="1">
      <alignment horizontal="center" vertical="center"/>
    </xf>
    <xf numFmtId="164" fontId="5" fillId="10" borderId="6" xfId="0" applyNumberFormat="1" applyFont="1" applyFill="1" applyBorder="1" applyAlignment="1">
      <alignment horizontal="center" vertical="center"/>
    </xf>
    <xf numFmtId="1" fontId="0" fillId="0" borderId="4" xfId="0" applyNumberFormat="1" applyFont="1" applyBorder="1" applyAlignment="1">
      <alignment horizontal="center" vertical="center"/>
    </xf>
    <xf numFmtId="4" fontId="5" fillId="0" borderId="0" xfId="0" applyNumberFormat="1" applyFont="1"/>
    <xf numFmtId="10" fontId="1" fillId="0" borderId="5" xfId="0" applyNumberFormat="1" applyFont="1" applyBorder="1" applyAlignment="1">
      <alignment horizontal="center" vertical="center"/>
    </xf>
    <xf numFmtId="10" fontId="5" fillId="2" borderId="5" xfId="0" applyNumberFormat="1" applyFont="1" applyFill="1" applyBorder="1" applyAlignment="1">
      <alignment horizontal="center"/>
    </xf>
    <xf numFmtId="10" fontId="5" fillId="3" borderId="5" xfId="0" applyNumberFormat="1" applyFont="1" applyFill="1" applyBorder="1" applyAlignment="1">
      <alignment horizontal="center"/>
    </xf>
    <xf numFmtId="10" fontId="5" fillId="3" borderId="6" xfId="0" applyNumberFormat="1" applyFont="1" applyFill="1" applyBorder="1" applyAlignment="1">
      <alignment horizontal="center"/>
    </xf>
    <xf numFmtId="0" fontId="5" fillId="0" borderId="5" xfId="0" applyFont="1" applyBorder="1" applyAlignment="1">
      <alignment vertical="center"/>
    </xf>
    <xf numFmtId="164" fontId="5" fillId="0" borderId="5" xfId="0" applyNumberFormat="1" applyFont="1" applyBorder="1" applyAlignment="1">
      <alignment vertical="center"/>
    </xf>
    <xf numFmtId="169" fontId="5" fillId="2" borderId="5" xfId="0" applyNumberFormat="1" applyFont="1" applyFill="1" applyBorder="1"/>
    <xf numFmtId="169" fontId="5" fillId="3" borderId="5" xfId="0" applyNumberFormat="1" applyFont="1" applyFill="1" applyBorder="1"/>
    <xf numFmtId="169" fontId="5" fillId="3" borderId="6" xfId="0" applyNumberFormat="1" applyFont="1" applyFill="1" applyBorder="1"/>
    <xf numFmtId="164" fontId="1" fillId="2" borderId="5" xfId="0" applyNumberFormat="1" applyFont="1" applyFill="1" applyBorder="1" applyAlignment="1">
      <alignment horizontal="center" vertical="center"/>
    </xf>
    <xf numFmtId="164" fontId="1" fillId="0" borderId="6" xfId="0" applyNumberFormat="1" applyFont="1" applyBorder="1" applyAlignment="1">
      <alignment horizontal="center" vertical="center"/>
    </xf>
    <xf numFmtId="0" fontId="5" fillId="0" borderId="31" xfId="0" applyFont="1" applyBorder="1" applyAlignment="1">
      <alignment horizontal="center" vertical="center"/>
    </xf>
    <xf numFmtId="164" fontId="5" fillId="3" borderId="31" xfId="0" applyNumberFormat="1" applyFont="1" applyFill="1" applyBorder="1" applyAlignment="1">
      <alignment horizontal="center" vertical="center"/>
    </xf>
    <xf numFmtId="10" fontId="1" fillId="2" borderId="31" xfId="0" applyNumberFormat="1" applyFont="1" applyFill="1" applyBorder="1" applyAlignment="1">
      <alignment horizontal="center"/>
    </xf>
    <xf numFmtId="10" fontId="1" fillId="3" borderId="31" xfId="0" applyNumberFormat="1" applyFont="1" applyFill="1" applyBorder="1" applyAlignment="1">
      <alignment horizontal="center"/>
    </xf>
    <xf numFmtId="10" fontId="1" fillId="3" borderId="30" xfId="0" applyNumberFormat="1" applyFont="1" applyFill="1" applyBorder="1" applyAlignment="1">
      <alignment horizontal="center"/>
    </xf>
    <xf numFmtId="0" fontId="0" fillId="0" borderId="0" xfId="0" applyFont="1"/>
    <xf numFmtId="0" fontId="0" fillId="3" borderId="0" xfId="0" applyFont="1" applyFill="1" applyBorder="1"/>
    <xf numFmtId="4" fontId="0" fillId="0" borderId="0" xfId="0" applyNumberFormat="1" applyFont="1"/>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3" borderId="35" xfId="0" applyFont="1" applyFill="1" applyBorder="1" applyAlignment="1">
      <alignment vertical="center"/>
    </xf>
    <xf numFmtId="0" fontId="7" fillId="3" borderId="36" xfId="0" applyFont="1" applyFill="1" applyBorder="1" applyAlignment="1">
      <alignment horizontal="center" vertical="center"/>
    </xf>
    <xf numFmtId="0" fontId="0" fillId="3" borderId="37" xfId="0" applyFont="1" applyFill="1" applyBorder="1" applyAlignment="1">
      <alignment horizontal="center" vertical="center"/>
    </xf>
    <xf numFmtId="0" fontId="7" fillId="0" borderId="9" xfId="0" applyFont="1" applyBorder="1" applyAlignment="1">
      <alignment horizontal="center" vertical="center"/>
    </xf>
    <xf numFmtId="0" fontId="0" fillId="3" borderId="9" xfId="0" applyFont="1" applyFill="1" applyBorder="1" applyAlignment="1">
      <alignment vertical="center"/>
    </xf>
    <xf numFmtId="10" fontId="0" fillId="3" borderId="38" xfId="0" applyNumberFormat="1" applyFont="1" applyFill="1" applyBorder="1" applyAlignment="1">
      <alignment horizontal="center" vertical="center"/>
    </xf>
    <xf numFmtId="0" fontId="0" fillId="0" borderId="39" xfId="0" applyFont="1" applyBorder="1" applyAlignment="1">
      <alignment horizontal="center" vertical="center"/>
    </xf>
    <xf numFmtId="0" fontId="7" fillId="3" borderId="18" xfId="0" applyFont="1" applyFill="1" applyBorder="1" applyAlignment="1">
      <alignment horizontal="center" vertical="center"/>
    </xf>
    <xf numFmtId="0" fontId="7" fillId="3" borderId="19" xfId="0" applyFont="1" applyFill="1" applyBorder="1" applyAlignment="1">
      <alignment horizontal="center" vertical="center"/>
    </xf>
    <xf numFmtId="10" fontId="7" fillId="0" borderId="40" xfId="0" applyNumberFormat="1" applyFont="1" applyBorder="1" applyAlignment="1">
      <alignment horizontal="center" vertical="center"/>
    </xf>
    <xf numFmtId="0" fontId="0" fillId="0" borderId="41" xfId="0" applyFont="1" applyBorder="1" applyAlignment="1">
      <alignment horizontal="center" vertical="center"/>
    </xf>
    <xf numFmtId="0" fontId="7" fillId="0" borderId="0" xfId="0" applyFont="1" applyAlignment="1">
      <alignment horizontal="center" vertical="center"/>
    </xf>
    <xf numFmtId="0" fontId="0" fillId="0" borderId="42" xfId="0" applyFont="1" applyBorder="1" applyAlignment="1">
      <alignment horizontal="center" vertical="center"/>
    </xf>
    <xf numFmtId="0" fontId="7" fillId="0" borderId="43" xfId="0" applyFont="1" applyBorder="1" applyAlignment="1">
      <alignment horizontal="center" vertical="center"/>
    </xf>
    <xf numFmtId="0" fontId="7" fillId="3" borderId="44" xfId="0" applyFont="1" applyFill="1" applyBorder="1" applyAlignment="1">
      <alignment horizontal="center" vertical="center"/>
    </xf>
    <xf numFmtId="0" fontId="7" fillId="3" borderId="44" xfId="0" applyFont="1" applyFill="1" applyBorder="1" applyAlignment="1">
      <alignment vertical="center"/>
    </xf>
    <xf numFmtId="0" fontId="7" fillId="3" borderId="45" xfId="0" applyFont="1" applyFill="1" applyBorder="1" applyAlignment="1">
      <alignment horizontal="center" vertical="center"/>
    </xf>
    <xf numFmtId="0" fontId="0" fillId="0" borderId="37" xfId="0" applyFont="1" applyBorder="1" applyAlignment="1">
      <alignment horizontal="center" vertical="center"/>
    </xf>
    <xf numFmtId="0" fontId="7" fillId="3" borderId="9" xfId="0" applyFont="1" applyFill="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44" xfId="0" applyFont="1" applyBorder="1" applyAlignment="1">
      <alignment horizontal="center" vertical="center"/>
    </xf>
    <xf numFmtId="0" fontId="7" fillId="0" borderId="44" xfId="0" applyFont="1" applyBorder="1" applyAlignment="1">
      <alignment vertical="center"/>
    </xf>
    <xf numFmtId="0" fontId="7" fillId="0" borderId="45" xfId="0" applyFont="1" applyBorder="1" applyAlignment="1">
      <alignment horizontal="center" vertical="center"/>
    </xf>
    <xf numFmtId="0" fontId="0" fillId="0" borderId="9" xfId="0" applyFont="1" applyBorder="1" applyAlignment="1">
      <alignment vertical="center"/>
    </xf>
    <xf numFmtId="10" fontId="0" fillId="0" borderId="38" xfId="0" applyNumberFormat="1" applyFont="1" applyBorder="1" applyAlignment="1">
      <alignment horizontal="center" vertical="center"/>
    </xf>
    <xf numFmtId="0" fontId="7" fillId="0" borderId="8" xfId="0" applyFont="1" applyBorder="1" applyAlignment="1">
      <alignment horizontal="center" vertical="center"/>
    </xf>
    <xf numFmtId="0" fontId="0" fillId="0" borderId="46" xfId="0" applyFont="1" applyBorder="1" applyAlignment="1">
      <alignment vertical="center"/>
    </xf>
    <xf numFmtId="10" fontId="0" fillId="0" borderId="42" xfId="0" applyNumberFormat="1" applyFont="1" applyBorder="1" applyAlignment="1">
      <alignment horizontal="center" vertical="center"/>
    </xf>
    <xf numFmtId="0" fontId="7" fillId="0" borderId="18" xfId="0" applyFont="1" applyBorder="1" applyAlignment="1">
      <alignment vertical="center"/>
    </xf>
    <xf numFmtId="0" fontId="7" fillId="0" borderId="0" xfId="0" applyFont="1" applyAlignment="1">
      <alignment vertical="center"/>
    </xf>
    <xf numFmtId="10" fontId="7" fillId="0" borderId="42" xfId="0" applyNumberFormat="1" applyFont="1" applyBorder="1" applyAlignment="1">
      <alignment horizontal="center" vertical="center"/>
    </xf>
    <xf numFmtId="0" fontId="0" fillId="3" borderId="47" xfId="0" applyFont="1" applyFill="1" applyBorder="1" applyAlignment="1">
      <alignment horizontal="center" vertical="center"/>
    </xf>
    <xf numFmtId="0" fontId="7" fillId="3" borderId="23" xfId="0" applyFont="1" applyFill="1" applyBorder="1" applyAlignment="1">
      <alignment horizontal="center" vertical="center"/>
    </xf>
    <xf numFmtId="0" fontId="0" fillId="3" borderId="39" xfId="0" applyFont="1" applyFill="1" applyBorder="1" applyAlignment="1">
      <alignment horizontal="center" vertical="center"/>
    </xf>
    <xf numFmtId="10" fontId="7" fillId="0" borderId="48" xfId="0" applyNumberFormat="1" applyFont="1" applyBorder="1" applyAlignment="1">
      <alignment horizontal="center" vertical="center"/>
    </xf>
    <xf numFmtId="0" fontId="0" fillId="3" borderId="41" xfId="0" applyFont="1" applyFill="1" applyBorder="1" applyAlignment="1">
      <alignment horizontal="center" vertical="center"/>
    </xf>
    <xf numFmtId="0" fontId="7" fillId="3" borderId="0" xfId="0" applyFont="1" applyFill="1" applyBorder="1" applyAlignment="1">
      <alignment horizontal="center" vertical="center"/>
    </xf>
    <xf numFmtId="0" fontId="0" fillId="3" borderId="0" xfId="0" applyFont="1" applyFill="1" applyBorder="1" applyAlignment="1">
      <alignment vertical="center"/>
    </xf>
    <xf numFmtId="0" fontId="0" fillId="3" borderId="42" xfId="0" applyFont="1" applyFill="1" applyBorder="1" applyAlignment="1">
      <alignment horizontal="center" vertical="center"/>
    </xf>
    <xf numFmtId="10" fontId="7" fillId="11" borderId="51" xfId="0" applyNumberFormat="1" applyFont="1" applyFill="1" applyBorder="1" applyAlignment="1">
      <alignment horizontal="center" vertical="center"/>
    </xf>
    <xf numFmtId="164" fontId="7" fillId="2" borderId="52" xfId="0" applyNumberFormat="1" applyFont="1" applyFill="1" applyBorder="1" applyAlignment="1">
      <alignment horizontal="center" vertical="center" wrapText="1"/>
    </xf>
    <xf numFmtId="10" fontId="7" fillId="2" borderId="52" xfId="0" applyNumberFormat="1" applyFont="1" applyFill="1" applyBorder="1" applyAlignment="1">
      <alignment horizontal="center" vertical="center" wrapText="1"/>
    </xf>
    <xf numFmtId="49" fontId="7" fillId="3" borderId="52" xfId="0" applyNumberFormat="1"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2" xfId="0" applyFont="1" applyFill="1" applyBorder="1" applyAlignment="1">
      <alignment vertical="center" wrapText="1"/>
    </xf>
    <xf numFmtId="2" fontId="7" fillId="3" borderId="52" xfId="0" applyNumberFormat="1" applyFont="1" applyFill="1" applyBorder="1" applyAlignment="1">
      <alignment horizontal="center" vertical="center" wrapText="1"/>
    </xf>
    <xf numFmtId="49" fontId="7" fillId="6" borderId="0" xfId="0" applyNumberFormat="1" applyFont="1" applyFill="1" applyAlignment="1">
      <alignment horizontal="center" vertical="center"/>
    </xf>
    <xf numFmtId="0" fontId="7" fillId="6" borderId="52" xfId="0" applyFont="1" applyFill="1" applyBorder="1" applyAlignment="1">
      <alignment horizontal="center" vertical="center" wrapText="1"/>
    </xf>
    <xf numFmtId="0" fontId="7" fillId="6" borderId="52" xfId="0" applyFont="1" applyFill="1" applyBorder="1" applyAlignment="1">
      <alignment vertical="center" wrapText="1"/>
    </xf>
    <xf numFmtId="2" fontId="7" fillId="6" borderId="52" xfId="0" applyNumberFormat="1" applyFont="1" applyFill="1" applyBorder="1" applyAlignment="1">
      <alignment horizontal="center" vertical="center" wrapText="1"/>
    </xf>
    <xf numFmtId="4" fontId="7" fillId="6" borderId="52" xfId="0" applyNumberFormat="1" applyFont="1" applyFill="1" applyBorder="1" applyAlignment="1">
      <alignment horizontal="center" vertical="center" wrapText="1"/>
    </xf>
    <xf numFmtId="49" fontId="0" fillId="7" borderId="0" xfId="0" applyNumberFormat="1" applyFont="1" applyFill="1" applyAlignment="1">
      <alignment horizontal="center" vertical="center"/>
    </xf>
    <xf numFmtId="0" fontId="0" fillId="7" borderId="52" xfId="0" applyFont="1" applyFill="1" applyBorder="1" applyAlignment="1">
      <alignment horizontal="center" vertical="center" wrapText="1"/>
    </xf>
    <xf numFmtId="0" fontId="0" fillId="7" borderId="52" xfId="0" applyFont="1" applyFill="1" applyBorder="1" applyAlignment="1">
      <alignment vertical="center" wrapText="1"/>
    </xf>
    <xf numFmtId="10" fontId="0" fillId="7" borderId="52" xfId="0" applyNumberFormat="1" applyFont="1" applyFill="1" applyBorder="1" applyAlignment="1">
      <alignment horizontal="center" vertical="center" wrapText="1"/>
    </xf>
    <xf numFmtId="4" fontId="0" fillId="7" borderId="52" xfId="0" applyNumberFormat="1" applyFont="1" applyFill="1" applyBorder="1" applyAlignment="1">
      <alignment horizontal="center" vertical="center" wrapText="1"/>
    </xf>
    <xf numFmtId="0" fontId="7" fillId="6" borderId="52" xfId="0" applyFont="1" applyFill="1" applyBorder="1" applyAlignment="1">
      <alignment horizontal="center" vertical="center"/>
    </xf>
    <xf numFmtId="0" fontId="7" fillId="6" borderId="52" xfId="0" applyFont="1" applyFill="1" applyBorder="1" applyAlignment="1">
      <alignment horizontal="left" vertical="center" wrapText="1"/>
    </xf>
    <xf numFmtId="2" fontId="7" fillId="6" borderId="52" xfId="0" applyNumberFormat="1" applyFont="1" applyFill="1" applyBorder="1" applyAlignment="1">
      <alignment horizontal="center" vertical="center"/>
    </xf>
    <xf numFmtId="4" fontId="7" fillId="6" borderId="52" xfId="0" applyNumberFormat="1" applyFont="1" applyFill="1" applyBorder="1" applyAlignment="1">
      <alignment horizontal="center" vertical="center"/>
    </xf>
    <xf numFmtId="0" fontId="0" fillId="7" borderId="52" xfId="0" applyFont="1" applyFill="1" applyBorder="1" applyAlignment="1">
      <alignment horizontal="center" vertical="center"/>
    </xf>
    <xf numFmtId="0" fontId="0" fillId="7" borderId="52" xfId="0" applyFont="1" applyFill="1" applyBorder="1" applyAlignment="1">
      <alignment horizontal="left" vertical="center" wrapText="1"/>
    </xf>
    <xf numFmtId="2" fontId="0" fillId="7" borderId="52" xfId="0" applyNumberFormat="1" applyFont="1" applyFill="1" applyBorder="1" applyAlignment="1">
      <alignment horizontal="center" vertical="center"/>
    </xf>
    <xf numFmtId="4" fontId="0" fillId="7" borderId="52" xfId="0" applyNumberFormat="1" applyFont="1" applyFill="1" applyBorder="1" applyAlignment="1">
      <alignment horizontal="center" vertical="center"/>
    </xf>
    <xf numFmtId="164" fontId="0" fillId="7" borderId="52" xfId="0" applyNumberFormat="1" applyFont="1" applyFill="1" applyBorder="1" applyAlignment="1">
      <alignment horizontal="center" vertical="center"/>
    </xf>
    <xf numFmtId="49" fontId="0" fillId="0" borderId="52" xfId="0" applyNumberFormat="1" applyFont="1" applyBorder="1" applyAlignment="1">
      <alignment horizontal="center" vertical="center"/>
    </xf>
    <xf numFmtId="0" fontId="0" fillId="0" borderId="52" xfId="0" applyFont="1" applyBorder="1" applyAlignment="1">
      <alignment vertical="center"/>
    </xf>
    <xf numFmtId="0" fontId="0" fillId="0" borderId="52" xfId="0" applyFont="1" applyBorder="1" applyAlignment="1">
      <alignment vertical="center" wrapText="1"/>
    </xf>
    <xf numFmtId="2" fontId="0" fillId="0" borderId="52" xfId="0" applyNumberFormat="1" applyFont="1" applyBorder="1" applyAlignment="1">
      <alignment vertical="center"/>
    </xf>
    <xf numFmtId="164" fontId="1" fillId="4" borderId="52" xfId="0" applyNumberFormat="1" applyFont="1" applyFill="1" applyBorder="1" applyAlignment="1">
      <alignment horizontal="center" vertical="center"/>
    </xf>
    <xf numFmtId="0" fontId="7" fillId="3" borderId="0" xfId="0" applyFont="1" applyFill="1" applyAlignment="1">
      <alignment horizontal="center" vertical="center"/>
    </xf>
    <xf numFmtId="0" fontId="0" fillId="8" borderId="0" xfId="0" applyFont="1" applyFill="1" applyAlignment="1">
      <alignment horizontal="center" vertical="center"/>
    </xf>
    <xf numFmtId="0" fontId="0" fillId="8" borderId="0" xfId="0" applyFont="1" applyFill="1" applyAlignment="1">
      <alignment horizontal="left" vertical="center" wrapText="1"/>
    </xf>
    <xf numFmtId="3" fontId="0" fillId="8" borderId="0" xfId="0" applyNumberFormat="1" applyFont="1" applyFill="1" applyAlignment="1">
      <alignment horizontal="center" vertical="center"/>
    </xf>
    <xf numFmtId="4" fontId="0" fillId="8" borderId="0" xfId="0" applyNumberFormat="1" applyFont="1" applyFill="1" applyAlignment="1">
      <alignment horizontal="center" vertical="center"/>
    </xf>
    <xf numFmtId="10" fontId="0" fillId="8" borderId="0" xfId="0" applyNumberFormat="1" applyFont="1" applyFill="1" applyAlignment="1">
      <alignment horizontal="center" vertical="center"/>
    </xf>
    <xf numFmtId="0" fontId="0" fillId="9" borderId="0" xfId="0" applyFont="1" applyFill="1" applyAlignment="1">
      <alignment horizontal="center" vertical="center"/>
    </xf>
    <xf numFmtId="0" fontId="0" fillId="9" borderId="0" xfId="0" applyFont="1" applyFill="1" applyAlignment="1">
      <alignment horizontal="left" vertical="center" wrapText="1"/>
    </xf>
    <xf numFmtId="3" fontId="0" fillId="9" borderId="0" xfId="0" applyNumberFormat="1" applyFont="1" applyFill="1" applyAlignment="1">
      <alignment horizontal="center" vertical="center"/>
    </xf>
    <xf numFmtId="10" fontId="0" fillId="9" borderId="0" xfId="0" applyNumberFormat="1" applyFont="1" applyFill="1" applyAlignment="1">
      <alignment horizontal="center" vertical="center"/>
    </xf>
    <xf numFmtId="4" fontId="0" fillId="9" borderId="0" xfId="0" applyNumberFormat="1" applyFont="1" applyFill="1" applyAlignment="1">
      <alignment horizontal="center" vertical="center"/>
    </xf>
    <xf numFmtId="0" fontId="0" fillId="12" borderId="0" xfId="0" applyFont="1" applyFill="1" applyAlignment="1">
      <alignment horizontal="center" vertical="center"/>
    </xf>
    <xf numFmtId="0" fontId="0" fillId="12" borderId="0" xfId="0" applyFont="1" applyFill="1" applyAlignment="1">
      <alignment horizontal="left" vertical="center" wrapText="1"/>
    </xf>
    <xf numFmtId="3" fontId="0" fillId="12" borderId="0" xfId="0" applyNumberFormat="1" applyFont="1" applyFill="1" applyAlignment="1">
      <alignment horizontal="center" vertical="center"/>
    </xf>
    <xf numFmtId="10" fontId="0" fillId="12" borderId="0" xfId="0" applyNumberFormat="1" applyFont="1" applyFill="1" applyAlignment="1">
      <alignment horizontal="center" vertical="center"/>
    </xf>
    <xf numFmtId="4" fontId="0" fillId="12" borderId="0" xfId="0" applyNumberFormat="1" applyFont="1" applyFill="1" applyAlignment="1">
      <alignment horizontal="center" vertical="center"/>
    </xf>
    <xf numFmtId="0" fontId="7" fillId="3" borderId="0" xfId="0" applyFont="1" applyFill="1" applyAlignment="1">
      <alignment horizontal="center" vertical="center" wrapText="1"/>
    </xf>
    <xf numFmtId="0" fontId="7" fillId="3" borderId="0" xfId="0" applyFont="1" applyFill="1" applyAlignment="1">
      <alignment horizontal="left" vertical="center" wrapText="1"/>
    </xf>
    <xf numFmtId="0" fontId="0" fillId="7" borderId="0" xfId="0" applyFont="1" applyFill="1" applyAlignment="1">
      <alignment horizontal="center" vertical="center"/>
    </xf>
    <xf numFmtId="0" fontId="0" fillId="7" borderId="0" xfId="0" applyFont="1" applyFill="1" applyAlignment="1">
      <alignment horizontal="left" vertical="center" wrapText="1"/>
    </xf>
    <xf numFmtId="4" fontId="0" fillId="7" borderId="0" xfId="0" applyNumberFormat="1" applyFont="1" applyFill="1" applyAlignment="1">
      <alignment horizontal="center" vertical="center"/>
    </xf>
    <xf numFmtId="3" fontId="0" fillId="7" borderId="0" xfId="0" applyNumberFormat="1" applyFont="1" applyFill="1" applyAlignment="1">
      <alignment horizontal="center" vertical="center"/>
    </xf>
    <xf numFmtId="0" fontId="7" fillId="0" borderId="8" xfId="0" applyFont="1" applyBorder="1" applyAlignment="1">
      <alignment horizontal="center"/>
    </xf>
    <xf numFmtId="0" fontId="7" fillId="0" borderId="24" xfId="0" applyFont="1" applyBorder="1" applyAlignment="1">
      <alignment horizontal="center"/>
    </xf>
    <xf numFmtId="2" fontId="7" fillId="0" borderId="24" xfId="0" applyNumberFormat="1" applyFont="1" applyBorder="1" applyAlignment="1">
      <alignment horizontal="center"/>
    </xf>
    <xf numFmtId="0" fontId="0" fillId="0" borderId="24" xfId="0" applyFont="1" applyBorder="1" applyAlignment="1">
      <alignment horizontal="center"/>
    </xf>
    <xf numFmtId="2" fontId="0" fillId="0" borderId="24" xfId="0" applyNumberFormat="1" applyFont="1" applyBorder="1" applyAlignment="1">
      <alignment horizontal="center"/>
    </xf>
    <xf numFmtId="0" fontId="0" fillId="0" borderId="0" xfId="0" applyFont="1" applyAlignment="1"/>
    <xf numFmtId="4" fontId="14" fillId="9" borderId="0" xfId="0" applyNumberFormat="1" applyFont="1" applyFill="1" applyAlignment="1">
      <alignment horizontal="center" vertical="center"/>
    </xf>
    <xf numFmtId="0" fontId="14" fillId="9" borderId="0" xfId="0" applyFont="1" applyFill="1" applyAlignment="1">
      <alignment horizontal="center" vertical="center" wrapText="1"/>
    </xf>
    <xf numFmtId="0" fontId="14" fillId="9" borderId="0" xfId="0" applyFont="1" applyFill="1" applyAlignment="1">
      <alignment vertical="center" wrapText="1"/>
    </xf>
    <xf numFmtId="168" fontId="14" fillId="9" borderId="0" xfId="0" applyNumberFormat="1" applyFont="1" applyFill="1" applyAlignment="1">
      <alignment horizontal="center" vertical="center" wrapText="1"/>
    </xf>
    <xf numFmtId="0" fontId="15" fillId="9" borderId="0" xfId="0" applyFont="1" applyFill="1" applyAlignment="1">
      <alignment horizontal="center" vertical="center" wrapText="1"/>
    </xf>
    <xf numFmtId="0" fontId="15" fillId="9" borderId="0" xfId="0" applyFont="1" applyFill="1" applyAlignment="1">
      <alignment vertical="center" wrapText="1"/>
    </xf>
    <xf numFmtId="168" fontId="15" fillId="9" borderId="0" xfId="0" applyNumberFormat="1" applyFont="1" applyFill="1" applyAlignment="1">
      <alignment horizontal="center" vertical="center" wrapText="1"/>
    </xf>
    <xf numFmtId="4" fontId="15" fillId="9" borderId="0" xfId="0" applyNumberFormat="1" applyFont="1" applyFill="1" applyAlignment="1">
      <alignment horizontal="center" vertical="center"/>
    </xf>
    <xf numFmtId="0" fontId="16" fillId="9" borderId="0" xfId="0" applyFont="1" applyFill="1" applyAlignment="1">
      <alignment horizontal="center" vertical="center" wrapText="1"/>
    </xf>
    <xf numFmtId="168" fontId="16" fillId="9" borderId="0" xfId="0" applyNumberFormat="1" applyFont="1" applyFill="1" applyAlignment="1">
      <alignment horizontal="center" vertical="center" wrapText="1"/>
    </xf>
    <xf numFmtId="4" fontId="16" fillId="9" borderId="0" xfId="0" applyNumberFormat="1" applyFont="1" applyFill="1" applyAlignment="1">
      <alignment horizontal="center" vertical="center"/>
    </xf>
    <xf numFmtId="0" fontId="14" fillId="8" borderId="0" xfId="0" applyFont="1" applyFill="1" applyAlignment="1">
      <alignment horizontal="center" vertical="center" wrapText="1"/>
    </xf>
    <xf numFmtId="0" fontId="14" fillId="8" borderId="0" xfId="0" applyFont="1" applyFill="1" applyAlignment="1">
      <alignment vertical="center" wrapText="1"/>
    </xf>
    <xf numFmtId="0" fontId="15" fillId="8" borderId="0" xfId="0" applyFont="1" applyFill="1" applyAlignment="1">
      <alignment horizontal="center" vertical="center" wrapText="1"/>
    </xf>
    <xf numFmtId="0" fontId="15" fillId="8" borderId="0" xfId="0" applyFont="1" applyFill="1" applyAlignment="1">
      <alignment vertical="center" wrapText="1"/>
    </xf>
    <xf numFmtId="2" fontId="0" fillId="0" borderId="0" xfId="0" applyNumberFormat="1" applyFont="1" applyAlignment="1">
      <alignment horizontal="center" vertical="center"/>
    </xf>
    <xf numFmtId="2" fontId="0" fillId="0" borderId="0" xfId="0" applyNumberFormat="1" applyAlignment="1">
      <alignment horizontal="center"/>
    </xf>
    <xf numFmtId="0" fontId="17" fillId="9" borderId="0" xfId="0" applyFont="1" applyFill="1" applyAlignment="1">
      <alignment horizontal="center" vertical="center" wrapText="1"/>
    </xf>
    <xf numFmtId="0" fontId="17" fillId="9" borderId="0" xfId="0" applyFont="1" applyFill="1" applyAlignment="1">
      <alignment vertical="center" wrapText="1"/>
    </xf>
    <xf numFmtId="168" fontId="17" fillId="9" borderId="0" xfId="0" applyNumberFormat="1" applyFont="1" applyFill="1" applyAlignment="1">
      <alignment horizontal="center" vertical="center" wrapText="1"/>
    </xf>
    <xf numFmtId="4" fontId="17" fillId="9" borderId="0" xfId="0" applyNumberFormat="1" applyFont="1" applyFill="1" applyAlignment="1">
      <alignment horizontal="center" vertical="center" wrapText="1"/>
    </xf>
    <xf numFmtId="4" fontId="17" fillId="9" borderId="0" xfId="0" applyNumberFormat="1" applyFont="1" applyFill="1" applyAlignment="1">
      <alignment horizontal="center" vertical="center"/>
    </xf>
    <xf numFmtId="168" fontId="15" fillId="8" borderId="0" xfId="0" applyNumberFormat="1" applyFont="1" applyFill="1" applyAlignment="1">
      <alignment horizontal="center" vertical="center" wrapText="1"/>
    </xf>
    <xf numFmtId="4" fontId="15" fillId="8" borderId="0" xfId="0" applyNumberFormat="1" applyFont="1" applyFill="1" applyAlignment="1">
      <alignment horizontal="center" vertical="center"/>
    </xf>
    <xf numFmtId="168" fontId="14" fillId="8" borderId="0" xfId="0" applyNumberFormat="1" applyFont="1" applyFill="1" applyAlignment="1">
      <alignment horizontal="center" vertical="center" wrapText="1"/>
    </xf>
    <xf numFmtId="4" fontId="14" fillId="8" borderId="0" xfId="0" applyNumberFormat="1" applyFont="1" applyFill="1" applyAlignment="1">
      <alignment horizontal="center" vertical="center"/>
    </xf>
    <xf numFmtId="0" fontId="17" fillId="8" borderId="0" xfId="0" applyFont="1" applyFill="1" applyAlignment="1">
      <alignment horizontal="center" vertical="center" wrapText="1"/>
    </xf>
    <xf numFmtId="0" fontId="17" fillId="8" borderId="0" xfId="0" applyFont="1" applyFill="1" applyAlignment="1">
      <alignment vertical="center" wrapText="1"/>
    </xf>
    <xf numFmtId="168" fontId="17" fillId="8" borderId="0" xfId="0" applyNumberFormat="1" applyFont="1" applyFill="1" applyAlignment="1">
      <alignment horizontal="center" vertical="center" wrapText="1"/>
    </xf>
    <xf numFmtId="4" fontId="17" fillId="8" borderId="0" xfId="0" applyNumberFormat="1" applyFont="1" applyFill="1" applyAlignment="1">
      <alignment horizontal="center" vertical="center"/>
    </xf>
    <xf numFmtId="0" fontId="16" fillId="8" borderId="0" xfId="0" applyFont="1" applyFill="1" applyAlignment="1">
      <alignment horizontal="center" vertical="center" wrapText="1"/>
    </xf>
    <xf numFmtId="0" fontId="16" fillId="8" borderId="0" xfId="0" applyFont="1" applyFill="1" applyAlignment="1">
      <alignment vertical="center" wrapText="1"/>
    </xf>
    <xf numFmtId="168" fontId="16" fillId="8" borderId="0" xfId="0" applyNumberFormat="1" applyFont="1" applyFill="1" applyAlignment="1">
      <alignment horizontal="center" vertical="center" wrapText="1"/>
    </xf>
    <xf numFmtId="4" fontId="16" fillId="8" borderId="0" xfId="0" applyNumberFormat="1" applyFont="1" applyFill="1" applyAlignment="1">
      <alignment horizontal="center" vertical="center"/>
    </xf>
    <xf numFmtId="1" fontId="1" fillId="2" borderId="5" xfId="0" applyNumberFormat="1" applyFont="1" applyFill="1" applyBorder="1" applyAlignment="1">
      <alignment horizontal="left" vertical="center" wrapText="1"/>
    </xf>
    <xf numFmtId="165" fontId="1" fillId="2" borderId="4" xfId="0" applyNumberFormat="1" applyFont="1" applyFill="1" applyBorder="1" applyAlignment="1">
      <alignment horizontal="right" vertical="center" wrapText="1"/>
    </xf>
    <xf numFmtId="167" fontId="1" fillId="4" borderId="4" xfId="0" applyNumberFormat="1" applyFont="1" applyFill="1" applyBorder="1" applyAlignment="1">
      <alignment horizontal="right" vertical="center"/>
    </xf>
    <xf numFmtId="167" fontId="1" fillId="4" borderId="29" xfId="0" applyNumberFormat="1" applyFont="1" applyFill="1" applyBorder="1" applyAlignment="1">
      <alignment horizontal="right" vertical="center"/>
    </xf>
    <xf numFmtId="1" fontId="1" fillId="2" borderId="8" xfId="0" applyNumberFormat="1" applyFont="1" applyFill="1" applyBorder="1" applyAlignment="1">
      <alignment horizontal="left" vertical="center" wrapText="1"/>
    </xf>
    <xf numFmtId="0" fontId="1" fillId="2" borderId="20" xfId="0" applyFont="1" applyFill="1" applyBorder="1" applyAlignment="1">
      <alignment horizontal="left" vertical="center" wrapText="1"/>
    </xf>
    <xf numFmtId="165" fontId="1" fillId="2" borderId="11" xfId="0" applyNumberFormat="1" applyFont="1" applyFill="1" applyBorder="1" applyAlignment="1">
      <alignment horizontal="right" vertical="center" wrapText="1"/>
    </xf>
    <xf numFmtId="0" fontId="5" fillId="0" borderId="13" xfId="0" applyFont="1" applyBorder="1" applyAlignment="1">
      <alignment horizontal="center" vertical="center"/>
    </xf>
    <xf numFmtId="1" fontId="5" fillId="3" borderId="13" xfId="0" applyNumberFormat="1" applyFont="1" applyFill="1" applyBorder="1" applyAlignment="1">
      <alignment horizontal="center" vertical="center"/>
    </xf>
    <xf numFmtId="1" fontId="1" fillId="2" borderId="14" xfId="0" applyNumberFormat="1" applyFont="1" applyFill="1" applyBorder="1" applyAlignment="1">
      <alignment horizontal="left" vertical="center" wrapText="1"/>
    </xf>
    <xf numFmtId="165" fontId="1" fillId="3" borderId="13" xfId="0" applyNumberFormat="1" applyFont="1" applyFill="1" applyBorder="1" applyAlignment="1">
      <alignment horizontal="righ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7" fillId="5" borderId="0" xfId="0" applyFont="1" applyFill="1" applyBorder="1" applyAlignment="1">
      <alignment vertical="center" wrapText="1"/>
    </xf>
    <xf numFmtId="168" fontId="7" fillId="5" borderId="0" xfId="0" applyNumberFormat="1" applyFont="1" applyFill="1" applyBorder="1" applyAlignment="1">
      <alignment horizontal="center" vertical="center" wrapText="1"/>
    </xf>
    <xf numFmtId="0" fontId="8" fillId="5" borderId="0" xfId="0" applyFont="1" applyFill="1" applyBorder="1" applyAlignment="1">
      <alignment horizontal="center" vertical="center" wrapText="1"/>
    </xf>
    <xf numFmtId="0" fontId="5" fillId="3" borderId="31" xfId="0" applyFont="1" applyFill="1" applyBorder="1" applyAlignment="1">
      <alignment horizontal="center"/>
    </xf>
    <xf numFmtId="0" fontId="5" fillId="0" borderId="29" xfId="0" applyFont="1" applyBorder="1" applyAlignment="1">
      <alignment horizontal="center"/>
    </xf>
    <xf numFmtId="10" fontId="5" fillId="3" borderId="31" xfId="0" applyNumberFormat="1" applyFont="1" applyFill="1" applyBorder="1" applyAlignment="1">
      <alignment horizontal="center"/>
    </xf>
    <xf numFmtId="0" fontId="5" fillId="2" borderId="31" xfId="0" applyFont="1" applyFill="1" applyBorder="1" applyAlignment="1">
      <alignment horizontal="center"/>
    </xf>
    <xf numFmtId="0" fontId="11" fillId="2" borderId="27" xfId="0" applyFont="1" applyFill="1" applyBorder="1" applyAlignment="1">
      <alignment horizontal="center" vertical="center" wrapText="1"/>
    </xf>
    <xf numFmtId="0" fontId="1" fillId="0" borderId="5" xfId="0" applyFont="1" applyBorder="1" applyAlignment="1">
      <alignment horizontal="center"/>
    </xf>
    <xf numFmtId="0" fontId="1" fillId="2" borderId="5" xfId="0" applyFont="1" applyFill="1" applyBorder="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0" fillId="3" borderId="49" xfId="0" applyFont="1" applyFill="1" applyBorder="1" applyAlignment="1">
      <alignment horizontal="center" vertical="center"/>
    </xf>
    <xf numFmtId="0" fontId="0" fillId="0" borderId="50" xfId="0" applyFont="1" applyBorder="1" applyAlignment="1">
      <alignment horizontal="center" vertical="center"/>
    </xf>
    <xf numFmtId="49" fontId="7" fillId="4" borderId="52" xfId="0" applyNumberFormat="1" applyFont="1" applyFill="1" applyBorder="1" applyAlignment="1">
      <alignment horizontal="right" vertical="center"/>
    </xf>
    <xf numFmtId="49" fontId="7" fillId="2" borderId="52" xfId="0" applyNumberFormat="1" applyFont="1" applyFill="1" applyBorder="1" applyAlignment="1">
      <alignment horizontal="center" vertical="center" wrapText="1"/>
    </xf>
    <xf numFmtId="2" fontId="7" fillId="2" borderId="52" xfId="0" applyNumberFormat="1"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0" fillId="0" borderId="0" xfId="0" applyFont="1" applyBorder="1" applyAlignment="1">
      <alignment horizontal="center" vertical="center"/>
    </xf>
    <xf numFmtId="0" fontId="7" fillId="3" borderId="0" xfId="0" applyFont="1" applyFill="1" applyBorder="1" applyAlignment="1">
      <alignment horizontal="center" vertical="center"/>
    </xf>
    <xf numFmtId="0" fontId="7" fillId="3" borderId="0" xfId="0" applyFont="1" applyFill="1" applyBorder="1" applyAlignment="1">
      <alignment horizontal="left" vertical="center" wrapText="1"/>
    </xf>
    <xf numFmtId="0" fontId="10" fillId="3" borderId="0" xfId="0" applyFont="1" applyFill="1" applyBorder="1" applyAlignment="1">
      <alignment horizontal="center" vertical="center"/>
    </xf>
    <xf numFmtId="0" fontId="7" fillId="2" borderId="5" xfId="0" applyFont="1" applyFill="1" applyBorder="1" applyAlignment="1">
      <alignment horizontal="center"/>
    </xf>
    <xf numFmtId="0" fontId="0" fillId="0" borderId="8" xfId="0" applyFont="1" applyBorder="1" applyAlignment="1">
      <alignment horizontal="center" vertical="center" wrapText="1"/>
    </xf>
    <xf numFmtId="0" fontId="7" fillId="0" borderId="19" xfId="0" applyFont="1" applyBorder="1" applyAlignment="1">
      <alignment horizontal="center"/>
    </xf>
    <xf numFmtId="0" fontId="7" fillId="10" borderId="5" xfId="0" applyFont="1" applyFill="1" applyBorder="1" applyAlignment="1">
      <alignment horizontal="center"/>
    </xf>
    <xf numFmtId="0" fontId="7" fillId="10" borderId="44" xfId="0" applyFont="1" applyFill="1" applyBorder="1"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6D6D6"/>
      <rgbColor rgb="FF808080"/>
      <rgbColor rgb="FF9999FF"/>
      <rgbColor rgb="FF993366"/>
      <rgbColor rgb="FFF7F3DF"/>
      <rgbColor rgb="FFDAEEF3"/>
      <rgbColor rgb="FF660066"/>
      <rgbColor rgb="FFFF8080"/>
      <rgbColor rgb="FF0066CC"/>
      <rgbColor rgb="FFC9DAF8"/>
      <rgbColor rgb="FF000080"/>
      <rgbColor rgb="FFFF00FF"/>
      <rgbColor rgb="FFFFFF00"/>
      <rgbColor rgb="FF00FFFF"/>
      <rgbColor rgb="FF800080"/>
      <rgbColor rgb="FF800000"/>
      <rgbColor rgb="FF008080"/>
      <rgbColor rgb="FF0000FF"/>
      <rgbColor rgb="FF00CCFF"/>
      <rgbColor rgb="FFD8ECF6"/>
      <rgbColor rgb="FFDFF0D8"/>
      <rgbColor rgb="FFEFEFEF"/>
      <rgbColor rgb="FFDBE5F1"/>
      <rgbColor rgb="FFFF99CC"/>
      <rgbColor rgb="FFCC99FF"/>
      <rgbColor rgb="FFF2DBDB"/>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26"/>
  <sheetViews>
    <sheetView tabSelected="1" topLeftCell="A200" zoomScaleNormal="100" workbookViewId="0">
      <selection activeCell="G226" sqref="G226"/>
    </sheetView>
  </sheetViews>
  <sheetFormatPr defaultRowHeight="15"/>
  <cols>
    <col min="1" max="1" width="7.85546875"/>
    <col min="2" max="2" width="14.28515625"/>
    <col min="3" max="3" width="75.85546875"/>
    <col min="4" max="4" width="7.85546875"/>
    <col min="5" max="5" width="9.5703125"/>
    <col min="6" max="6" width="13.42578125"/>
    <col min="7" max="7" width="12.140625"/>
    <col min="8" max="8" width="13.28515625"/>
    <col min="9" max="9" width="13.140625"/>
    <col min="10" max="10" width="16.28515625"/>
    <col min="11" max="11" width="10.28515625"/>
    <col min="12" max="1025" width="14.140625"/>
  </cols>
  <sheetData>
    <row r="1" spans="1:7" ht="18" customHeight="1">
      <c r="A1" s="315" t="s">
        <v>0</v>
      </c>
      <c r="B1" s="315"/>
      <c r="C1" s="315"/>
      <c r="D1" s="315"/>
      <c r="E1" s="316" t="s">
        <v>1</v>
      </c>
      <c r="F1" s="316"/>
      <c r="G1" s="1" t="s">
        <v>2</v>
      </c>
    </row>
    <row r="2" spans="1:7" ht="75" customHeight="1">
      <c r="A2" s="317" t="s">
        <v>3</v>
      </c>
      <c r="B2" s="317"/>
      <c r="C2" s="317"/>
      <c r="D2" s="317"/>
      <c r="E2" s="318" t="s">
        <v>4</v>
      </c>
      <c r="F2" s="318"/>
      <c r="G2" s="2">
        <v>0.25109999999999999</v>
      </c>
    </row>
    <row r="3" spans="1:7" ht="25.5" customHeight="1">
      <c r="A3" s="3" t="s">
        <v>5</v>
      </c>
      <c r="B3" s="4" t="s">
        <v>6</v>
      </c>
      <c r="C3" s="4" t="s">
        <v>7</v>
      </c>
      <c r="D3" s="5" t="s">
        <v>8</v>
      </c>
      <c r="E3" s="6" t="s">
        <v>9</v>
      </c>
      <c r="F3" s="7" t="s">
        <v>10</v>
      </c>
      <c r="G3" s="8" t="s">
        <v>11</v>
      </c>
    </row>
    <row r="4" spans="1:7" ht="15" customHeight="1">
      <c r="A4" s="9">
        <v>1</v>
      </c>
      <c r="B4" s="308" t="s">
        <v>12</v>
      </c>
      <c r="C4" s="308"/>
      <c r="D4" s="10"/>
      <c r="E4" s="11"/>
      <c r="F4" s="12"/>
      <c r="G4" s="13"/>
    </row>
    <row r="5" spans="1:7">
      <c r="A5" s="14" t="s">
        <v>13</v>
      </c>
      <c r="B5" s="15" t="s">
        <v>14</v>
      </c>
      <c r="C5" s="16" t="s">
        <v>15</v>
      </c>
      <c r="D5" s="17" t="s">
        <v>16</v>
      </c>
      <c r="E5" s="18">
        <v>5.0000000000000001E-3</v>
      </c>
      <c r="F5" s="19">
        <f>SUM(G10,G16,G37,G51,G79,G85,G90,G131,G151,G158,G177,G184,G203,G213,G222)</f>
        <v>200824.00999999998</v>
      </c>
      <c r="G5" s="20">
        <f>ROUND(F5*E5,2)</f>
        <v>1004.12</v>
      </c>
    </row>
    <row r="6" spans="1:7" ht="15" customHeight="1">
      <c r="A6" s="310" t="s">
        <v>17</v>
      </c>
      <c r="B6" s="310"/>
      <c r="C6" s="310"/>
      <c r="D6" s="310"/>
      <c r="E6" s="310"/>
      <c r="F6" s="310"/>
      <c r="G6" s="21">
        <f>SUM(G5)</f>
        <v>1004.12</v>
      </c>
    </row>
    <row r="7" spans="1:7">
      <c r="A7" s="312"/>
      <c r="B7" s="312"/>
      <c r="C7" s="312"/>
      <c r="D7" s="312"/>
      <c r="E7" s="312"/>
      <c r="F7" s="312"/>
      <c r="G7" s="312"/>
    </row>
    <row r="8" spans="1:7" ht="15" customHeight="1">
      <c r="A8" s="9">
        <v>2</v>
      </c>
      <c r="B8" s="313" t="s">
        <v>18</v>
      </c>
      <c r="C8" s="313"/>
      <c r="D8" s="22"/>
      <c r="E8" s="23"/>
      <c r="F8" s="24"/>
      <c r="G8" s="25"/>
    </row>
    <row r="9" spans="1:7">
      <c r="A9" s="26" t="s">
        <v>19</v>
      </c>
      <c r="B9" s="15">
        <v>93572</v>
      </c>
      <c r="C9" s="16" t="s">
        <v>20</v>
      </c>
      <c r="D9" s="27" t="s">
        <v>21</v>
      </c>
      <c r="E9" s="28">
        <v>4</v>
      </c>
      <c r="F9" s="29">
        <v>6238.91</v>
      </c>
      <c r="G9" s="20">
        <f>ROUND(F9*E9,2)</f>
        <v>24955.64</v>
      </c>
    </row>
    <row r="10" spans="1:7" ht="15" customHeight="1">
      <c r="A10" s="305" t="s">
        <v>22</v>
      </c>
      <c r="B10" s="305"/>
      <c r="C10" s="305"/>
      <c r="D10" s="305"/>
      <c r="E10" s="305"/>
      <c r="F10" s="305"/>
      <c r="G10" s="30">
        <f>SUM(G9)</f>
        <v>24955.64</v>
      </c>
    </row>
    <row r="11" spans="1:7">
      <c r="A11" s="314"/>
      <c r="B11" s="314"/>
      <c r="C11" s="314"/>
      <c r="D11" s="314"/>
      <c r="E11" s="314"/>
      <c r="F11" s="314"/>
      <c r="G11" s="314"/>
    </row>
    <row r="12" spans="1:7" ht="15" customHeight="1">
      <c r="A12" s="31">
        <v>3</v>
      </c>
      <c r="B12" s="309" t="s">
        <v>23</v>
      </c>
      <c r="C12" s="309"/>
      <c r="D12" s="32"/>
      <c r="E12" s="33"/>
      <c r="F12" s="34"/>
      <c r="G12" s="35"/>
    </row>
    <row r="13" spans="1:7" ht="51">
      <c r="A13" s="36" t="s">
        <v>24</v>
      </c>
      <c r="B13" s="15" t="s">
        <v>25</v>
      </c>
      <c r="C13" s="37" t="s">
        <v>26</v>
      </c>
      <c r="D13" s="38" t="s">
        <v>27</v>
      </c>
      <c r="E13" s="28">
        <v>2.2000000000000002</v>
      </c>
      <c r="F13" s="19">
        <v>204.75</v>
      </c>
      <c r="G13" s="20">
        <f>ROUND(F13*E13,2)</f>
        <v>450.45</v>
      </c>
    </row>
    <row r="14" spans="1:7">
      <c r="A14" s="36" t="s">
        <v>28</v>
      </c>
      <c r="B14" s="15" t="s">
        <v>29</v>
      </c>
      <c r="C14" s="37" t="s">
        <v>30</v>
      </c>
      <c r="D14" s="38" t="s">
        <v>31</v>
      </c>
      <c r="E14" s="28">
        <f>14.45*12.4</f>
        <v>179.18</v>
      </c>
      <c r="F14" s="39">
        <v>15</v>
      </c>
      <c r="G14" s="20">
        <f>ROUND(F14*E14,2)</f>
        <v>2687.7</v>
      </c>
    </row>
    <row r="15" spans="1:7">
      <c r="A15" s="36" t="s">
        <v>32</v>
      </c>
      <c r="B15" s="15" t="s">
        <v>33</v>
      </c>
      <c r="C15" s="37" t="s">
        <v>34</v>
      </c>
      <c r="D15" s="38" t="s">
        <v>27</v>
      </c>
      <c r="E15" s="28">
        <f>6.35+26.38</f>
        <v>32.729999999999997</v>
      </c>
      <c r="F15" s="40">
        <v>8.3800000000000008</v>
      </c>
      <c r="G15" s="20">
        <f>ROUND(F15*E15,2)</f>
        <v>274.27999999999997</v>
      </c>
    </row>
    <row r="16" spans="1:7" ht="15" customHeight="1">
      <c r="A16" s="305" t="s">
        <v>35</v>
      </c>
      <c r="B16" s="305"/>
      <c r="C16" s="305"/>
      <c r="D16" s="305"/>
      <c r="E16" s="305"/>
      <c r="F16" s="305"/>
      <c r="G16" s="30">
        <f>SUM(G13:G15)</f>
        <v>3412.4299999999994</v>
      </c>
    </row>
    <row r="17" spans="1:7">
      <c r="A17" s="311"/>
      <c r="B17" s="311"/>
      <c r="C17" s="311"/>
      <c r="D17" s="311"/>
      <c r="E17" s="311"/>
      <c r="F17" s="311"/>
      <c r="G17" s="311"/>
    </row>
    <row r="18" spans="1:7" ht="15" customHeight="1">
      <c r="A18" s="31">
        <v>4</v>
      </c>
      <c r="B18" s="309" t="s">
        <v>36</v>
      </c>
      <c r="C18" s="309"/>
      <c r="D18" s="32"/>
      <c r="E18" s="32"/>
      <c r="F18" s="34"/>
      <c r="G18" s="35"/>
    </row>
    <row r="19" spans="1:7" ht="15" customHeight="1">
      <c r="A19" s="31" t="s">
        <v>37</v>
      </c>
      <c r="B19" s="309" t="s">
        <v>38</v>
      </c>
      <c r="C19" s="309"/>
      <c r="D19" s="32"/>
      <c r="E19" s="32"/>
      <c r="F19" s="34"/>
      <c r="G19" s="35"/>
    </row>
    <row r="20" spans="1:7" ht="15" customHeight="1">
      <c r="A20" s="41" t="s">
        <v>39</v>
      </c>
      <c r="B20" s="304" t="s">
        <v>40</v>
      </c>
      <c r="C20" s="304"/>
      <c r="D20" s="42"/>
      <c r="E20" s="43"/>
      <c r="F20" s="44"/>
      <c r="G20" s="45">
        <f>SUM(G21:G29)</f>
        <v>3552.4800000000005</v>
      </c>
    </row>
    <row r="21" spans="1:7" ht="15.75" customHeight="1">
      <c r="A21" s="46" t="s">
        <v>41</v>
      </c>
      <c r="B21" s="47">
        <v>97629</v>
      </c>
      <c r="C21" s="48" t="s">
        <v>42</v>
      </c>
      <c r="D21" s="49" t="s">
        <v>43</v>
      </c>
      <c r="E21" s="50">
        <v>5.65</v>
      </c>
      <c r="F21" s="51">
        <v>103.42</v>
      </c>
      <c r="G21" s="20">
        <f t="shared" ref="G21:G29" si="0">ROUND(F21*E21,2)</f>
        <v>584.32000000000005</v>
      </c>
    </row>
    <row r="22" spans="1:7" ht="15.75" customHeight="1">
      <c r="A22" s="46" t="s">
        <v>44</v>
      </c>
      <c r="B22" s="15">
        <v>93358</v>
      </c>
      <c r="C22" s="37" t="s">
        <v>45</v>
      </c>
      <c r="D22" s="38" t="s">
        <v>43</v>
      </c>
      <c r="E22" s="28">
        <v>2.54</v>
      </c>
      <c r="F22" s="40">
        <v>66.5</v>
      </c>
      <c r="G22" s="20">
        <f t="shared" si="0"/>
        <v>168.91</v>
      </c>
    </row>
    <row r="23" spans="1:7" ht="15.75" customHeight="1">
      <c r="A23" s="46" t="s">
        <v>46</v>
      </c>
      <c r="B23" s="15">
        <v>93382</v>
      </c>
      <c r="C23" s="37" t="s">
        <v>47</v>
      </c>
      <c r="D23" s="38" t="s">
        <v>43</v>
      </c>
      <c r="E23" s="28">
        <v>1.46</v>
      </c>
      <c r="F23" s="40">
        <v>27.29</v>
      </c>
      <c r="G23" s="20">
        <f t="shared" si="0"/>
        <v>39.840000000000003</v>
      </c>
    </row>
    <row r="24" spans="1:7" ht="25.5" customHeight="1">
      <c r="A24" s="46" t="s">
        <v>48</v>
      </c>
      <c r="B24" s="15" t="s">
        <v>49</v>
      </c>
      <c r="C24" s="37" t="s">
        <v>50</v>
      </c>
      <c r="D24" s="38" t="s">
        <v>27</v>
      </c>
      <c r="E24" s="28">
        <v>98.75</v>
      </c>
      <c r="F24" s="40">
        <v>4.12</v>
      </c>
      <c r="G24" s="20">
        <f t="shared" si="0"/>
        <v>406.85</v>
      </c>
    </row>
    <row r="25" spans="1:7" ht="25.5" customHeight="1">
      <c r="A25" s="46" t="s">
        <v>51</v>
      </c>
      <c r="B25" s="15">
        <v>96557</v>
      </c>
      <c r="C25" s="52" t="s">
        <v>52</v>
      </c>
      <c r="D25" s="38" t="s">
        <v>43</v>
      </c>
      <c r="E25" s="28">
        <v>1.1200000000000001</v>
      </c>
      <c r="F25" s="40">
        <v>512.79999999999995</v>
      </c>
      <c r="G25" s="20">
        <f t="shared" si="0"/>
        <v>574.34</v>
      </c>
    </row>
    <row r="26" spans="1:7" ht="25.5" customHeight="1">
      <c r="A26" s="46" t="s">
        <v>53</v>
      </c>
      <c r="B26" s="53" t="s">
        <v>54</v>
      </c>
      <c r="C26" s="37" t="s">
        <v>55</v>
      </c>
      <c r="D26" s="38" t="s">
        <v>27</v>
      </c>
      <c r="E26" s="28">
        <v>21.48</v>
      </c>
      <c r="F26" s="40">
        <v>52.57</v>
      </c>
      <c r="G26" s="20">
        <f t="shared" si="0"/>
        <v>1129.2</v>
      </c>
    </row>
    <row r="27" spans="1:7" ht="15.75" customHeight="1">
      <c r="A27" s="46" t="s">
        <v>56</v>
      </c>
      <c r="B27" s="53">
        <v>98557</v>
      </c>
      <c r="C27" s="37" t="s">
        <v>57</v>
      </c>
      <c r="D27" s="38" t="s">
        <v>27</v>
      </c>
      <c r="E27" s="28">
        <f>16*0.6</f>
        <v>9.6</v>
      </c>
      <c r="F27" s="40">
        <v>36.22</v>
      </c>
      <c r="G27" s="20">
        <f t="shared" si="0"/>
        <v>347.71</v>
      </c>
    </row>
    <row r="28" spans="1:7" ht="25.5" customHeight="1">
      <c r="A28" s="46" t="s">
        <v>58</v>
      </c>
      <c r="B28" s="49">
        <v>96543</v>
      </c>
      <c r="C28" s="37" t="s">
        <v>59</v>
      </c>
      <c r="D28" s="38" t="s">
        <v>60</v>
      </c>
      <c r="E28" s="28">
        <v>5.79</v>
      </c>
      <c r="F28" s="40">
        <v>17.920000000000002</v>
      </c>
      <c r="G28" s="20">
        <f t="shared" si="0"/>
        <v>103.76</v>
      </c>
    </row>
    <row r="29" spans="1:7" ht="25.5" customHeight="1">
      <c r="A29" s="46" t="s">
        <v>61</v>
      </c>
      <c r="B29" s="49">
        <v>96545</v>
      </c>
      <c r="C29" s="37" t="s">
        <v>62</v>
      </c>
      <c r="D29" s="38" t="s">
        <v>60</v>
      </c>
      <c r="E29" s="28">
        <v>12.68</v>
      </c>
      <c r="F29" s="40">
        <v>15.58</v>
      </c>
      <c r="G29" s="20">
        <f t="shared" si="0"/>
        <v>197.55</v>
      </c>
    </row>
    <row r="30" spans="1:7" ht="15.75" customHeight="1">
      <c r="A30" s="41" t="s">
        <v>63</v>
      </c>
      <c r="B30" s="304" t="s">
        <v>64</v>
      </c>
      <c r="C30" s="304"/>
      <c r="D30" s="42"/>
      <c r="E30" s="43"/>
      <c r="F30" s="44"/>
      <c r="G30" s="45">
        <f>SUM(G31:G33)</f>
        <v>9723.7000000000007</v>
      </c>
    </row>
    <row r="31" spans="1:7" ht="15.75" customHeight="1">
      <c r="A31" s="36" t="s">
        <v>65</v>
      </c>
      <c r="B31" s="15" t="s">
        <v>66</v>
      </c>
      <c r="C31" s="37" t="s">
        <v>67</v>
      </c>
      <c r="D31" s="38" t="s">
        <v>27</v>
      </c>
      <c r="E31" s="28">
        <f>10.38*8.51</f>
        <v>88.333800000000011</v>
      </c>
      <c r="F31" s="40">
        <v>2.56</v>
      </c>
      <c r="G31" s="20">
        <f>ROUND(F31*E31,2)</f>
        <v>226.13</v>
      </c>
    </row>
    <row r="32" spans="1:7" ht="25.5" customHeight="1">
      <c r="A32" s="36" t="s">
        <v>68</v>
      </c>
      <c r="B32" s="15">
        <v>97092</v>
      </c>
      <c r="C32" s="37" t="s">
        <v>69</v>
      </c>
      <c r="D32" s="38" t="s">
        <v>60</v>
      </c>
      <c r="E32" s="28">
        <f>E31*3.11</f>
        <v>274.718118</v>
      </c>
      <c r="F32" s="40">
        <v>18.100000000000001</v>
      </c>
      <c r="G32" s="20">
        <f>ROUND(F32*E32,2)</f>
        <v>4972.3999999999996</v>
      </c>
    </row>
    <row r="33" spans="1:11" ht="25.5" customHeight="1">
      <c r="A33" s="36" t="s">
        <v>70</v>
      </c>
      <c r="B33" s="15">
        <v>97096</v>
      </c>
      <c r="C33" s="37" t="s">
        <v>71</v>
      </c>
      <c r="D33" s="38" t="s">
        <v>43</v>
      </c>
      <c r="E33" s="28">
        <v>9.57</v>
      </c>
      <c r="F33" s="40">
        <v>472.85</v>
      </c>
      <c r="G33" s="20">
        <f>ROUND(F33*E33,2)</f>
        <v>4525.17</v>
      </c>
    </row>
    <row r="34" spans="1:11" ht="15.75" customHeight="1">
      <c r="A34" s="41" t="s">
        <v>72</v>
      </c>
      <c r="B34" s="304" t="s">
        <v>73</v>
      </c>
      <c r="C34" s="304"/>
      <c r="D34" s="42"/>
      <c r="E34" s="43"/>
      <c r="F34" s="44"/>
      <c r="G34" s="45">
        <f>SUM(G35:G36)</f>
        <v>6260.58</v>
      </c>
      <c r="H34" s="54"/>
      <c r="I34" s="54"/>
      <c r="J34" s="54"/>
      <c r="K34" s="54"/>
    </row>
    <row r="35" spans="1:11" ht="15.75" customHeight="1">
      <c r="A35" s="55" t="s">
        <v>74</v>
      </c>
      <c r="B35" s="15" t="s">
        <v>75</v>
      </c>
      <c r="C35" s="37" t="s">
        <v>76</v>
      </c>
      <c r="D35" s="38" t="s">
        <v>60</v>
      </c>
      <c r="E35" s="28">
        <f>10.2*10*2.85</f>
        <v>290.7</v>
      </c>
      <c r="F35" s="56">
        <v>11.18</v>
      </c>
      <c r="G35" s="20">
        <f>ROUND(F35*E35,2)</f>
        <v>3250.03</v>
      </c>
      <c r="H35" s="54"/>
      <c r="I35" s="54"/>
      <c r="J35" s="54"/>
      <c r="K35" s="54"/>
    </row>
    <row r="36" spans="1:11" ht="38.25" customHeight="1">
      <c r="A36" s="55" t="s">
        <v>77</v>
      </c>
      <c r="B36" s="15" t="s">
        <v>75</v>
      </c>
      <c r="C36" s="37" t="s">
        <v>78</v>
      </c>
      <c r="D36" s="38" t="s">
        <v>60</v>
      </c>
      <c r="E36" s="28">
        <f>(10.2*4*3.2)+(1.8*2+4.5+5.5)*10.2</f>
        <v>269.27999999999997</v>
      </c>
      <c r="F36" s="56">
        <v>11.18</v>
      </c>
      <c r="G36" s="20">
        <f>ROUND(F36*E36,2)</f>
        <v>3010.55</v>
      </c>
    </row>
    <row r="37" spans="1:11" ht="15.75" customHeight="1">
      <c r="A37" s="310" t="s">
        <v>79</v>
      </c>
      <c r="B37" s="310"/>
      <c r="C37" s="310"/>
      <c r="D37" s="310"/>
      <c r="E37" s="310"/>
      <c r="F37" s="310"/>
      <c r="G37" s="57">
        <f>G20+G30+G34</f>
        <v>19536.760000000002</v>
      </c>
    </row>
    <row r="38" spans="1:11" ht="15.75" customHeight="1">
      <c r="A38" s="58"/>
      <c r="B38" s="59"/>
      <c r="C38" s="60"/>
      <c r="D38" s="61"/>
      <c r="E38" s="62"/>
      <c r="F38" s="63"/>
      <c r="G38" s="64"/>
    </row>
    <row r="39" spans="1:11" ht="15.75" customHeight="1">
      <c r="A39" s="31" t="s">
        <v>80</v>
      </c>
      <c r="B39" s="309" t="s">
        <v>81</v>
      </c>
      <c r="C39" s="309"/>
      <c r="D39" s="32"/>
      <c r="E39" s="33"/>
      <c r="F39" s="34"/>
      <c r="G39" s="35"/>
    </row>
    <row r="40" spans="1:11" ht="15.75" customHeight="1">
      <c r="A40" s="41" t="s">
        <v>82</v>
      </c>
      <c r="B40" s="304" t="s">
        <v>83</v>
      </c>
      <c r="C40" s="304"/>
      <c r="D40" s="42"/>
      <c r="E40" s="43"/>
      <c r="F40" s="44"/>
      <c r="G40" s="45">
        <f>SUM(G41)</f>
        <v>91.11</v>
      </c>
    </row>
    <row r="41" spans="1:11" ht="25.5" customHeight="1">
      <c r="A41" s="36" t="s">
        <v>84</v>
      </c>
      <c r="B41" s="15">
        <v>97647</v>
      </c>
      <c r="C41" s="37" t="s">
        <v>85</v>
      </c>
      <c r="D41" s="38" t="s">
        <v>27</v>
      </c>
      <c r="E41" s="28">
        <f>7*4.75</f>
        <v>33.25</v>
      </c>
      <c r="F41" s="40">
        <v>2.74</v>
      </c>
      <c r="G41" s="20">
        <f>ROUND(F41*E41,2)</f>
        <v>91.11</v>
      </c>
    </row>
    <row r="42" spans="1:11" ht="15.75" customHeight="1">
      <c r="A42" s="41" t="s">
        <v>86</v>
      </c>
      <c r="B42" s="304" t="s">
        <v>87</v>
      </c>
      <c r="C42" s="304"/>
      <c r="D42" s="42"/>
      <c r="E42" s="43"/>
      <c r="F42" s="44"/>
      <c r="G42" s="45">
        <f>SUM(G43:G44)</f>
        <v>4486.3999999999996</v>
      </c>
    </row>
    <row r="43" spans="1:11" ht="25.5" customHeight="1">
      <c r="A43" s="36" t="s">
        <v>88</v>
      </c>
      <c r="B43" s="15">
        <v>92580</v>
      </c>
      <c r="C43" s="37" t="s">
        <v>89</v>
      </c>
      <c r="D43" s="38" t="s">
        <v>27</v>
      </c>
      <c r="E43" s="28">
        <f>2.1*4.75+10.38*3.35</f>
        <v>44.748000000000005</v>
      </c>
      <c r="F43" s="40">
        <v>47.41</v>
      </c>
      <c r="G43" s="20">
        <f>ROUND(F43*E43,2)</f>
        <v>2121.5</v>
      </c>
    </row>
    <row r="44" spans="1:11" ht="25.5" customHeight="1">
      <c r="A44" s="36" t="s">
        <v>90</v>
      </c>
      <c r="B44" s="15" t="s">
        <v>91</v>
      </c>
      <c r="C44" s="37" t="s">
        <v>92</v>
      </c>
      <c r="D44" s="38" t="s">
        <v>27</v>
      </c>
      <c r="E44" s="28">
        <f>E46</f>
        <v>77.998000000000005</v>
      </c>
      <c r="F44" s="40">
        <v>30.32</v>
      </c>
      <c r="G44" s="20">
        <f>ROUND(F44*E44,2)</f>
        <v>2364.9</v>
      </c>
    </row>
    <row r="45" spans="1:11" ht="15.75" customHeight="1">
      <c r="A45" s="41" t="s">
        <v>93</v>
      </c>
      <c r="B45" s="304" t="s">
        <v>94</v>
      </c>
      <c r="C45" s="304"/>
      <c r="D45" s="42"/>
      <c r="E45" s="43"/>
      <c r="F45" s="44"/>
      <c r="G45" s="45">
        <f>SUM(G46)</f>
        <v>6451.21</v>
      </c>
    </row>
    <row r="46" spans="1:11" ht="25.5" customHeight="1">
      <c r="A46" s="36" t="s">
        <v>95</v>
      </c>
      <c r="B46" s="15" t="s">
        <v>96</v>
      </c>
      <c r="C46" s="37" t="s">
        <v>97</v>
      </c>
      <c r="D46" s="38" t="s">
        <v>27</v>
      </c>
      <c r="E46" s="28">
        <f>E43+E41</f>
        <v>77.998000000000005</v>
      </c>
      <c r="F46" s="40">
        <v>82.71</v>
      </c>
      <c r="G46" s="20">
        <f>ROUND(F46*E46,2)</f>
        <v>6451.21</v>
      </c>
    </row>
    <row r="47" spans="1:11" ht="15.75" customHeight="1">
      <c r="A47" s="41" t="s">
        <v>98</v>
      </c>
      <c r="B47" s="304" t="s">
        <v>99</v>
      </c>
      <c r="C47" s="304"/>
      <c r="D47" s="42"/>
      <c r="E47" s="43"/>
      <c r="F47" s="44"/>
      <c r="G47" s="45">
        <f>SUM(G48:G50)</f>
        <v>4176.7999999999993</v>
      </c>
    </row>
    <row r="48" spans="1:11" ht="15.75" customHeight="1">
      <c r="A48" s="36" t="s">
        <v>100</v>
      </c>
      <c r="B48" s="15" t="s">
        <v>101</v>
      </c>
      <c r="C48" s="37" t="s">
        <v>102</v>
      </c>
      <c r="D48" s="38" t="s">
        <v>31</v>
      </c>
      <c r="E48" s="28">
        <v>8.98</v>
      </c>
      <c r="F48" s="40">
        <v>32.86</v>
      </c>
      <c r="G48" s="20">
        <f>ROUND(F48*E48,2)</f>
        <v>295.08</v>
      </c>
    </row>
    <row r="49" spans="1:7" ht="25.5" customHeight="1">
      <c r="A49" s="36" t="s">
        <v>103</v>
      </c>
      <c r="B49" s="15">
        <v>94228</v>
      </c>
      <c r="C49" s="37" t="s">
        <v>104</v>
      </c>
      <c r="D49" s="38" t="s">
        <v>31</v>
      </c>
      <c r="E49" s="28">
        <f>8.98*2+10.38</f>
        <v>28.340000000000003</v>
      </c>
      <c r="F49" s="40">
        <v>112.79</v>
      </c>
      <c r="G49" s="20">
        <f>ROUND(F49*E49,2)</f>
        <v>3196.47</v>
      </c>
    </row>
    <row r="50" spans="1:7" ht="38.25" customHeight="1">
      <c r="A50" s="36" t="s">
        <v>105</v>
      </c>
      <c r="B50" s="15">
        <v>91789</v>
      </c>
      <c r="C50" s="37" t="s">
        <v>106</v>
      </c>
      <c r="D50" s="38" t="s">
        <v>31</v>
      </c>
      <c r="E50" s="28">
        <v>13.28</v>
      </c>
      <c r="F50" s="40">
        <v>51.6</v>
      </c>
      <c r="G50" s="20">
        <f>ROUND(F50*E50,2)</f>
        <v>685.25</v>
      </c>
    </row>
    <row r="51" spans="1:7" ht="15.75" customHeight="1">
      <c r="A51" s="310" t="s">
        <v>107</v>
      </c>
      <c r="B51" s="310"/>
      <c r="C51" s="310"/>
      <c r="D51" s="310"/>
      <c r="E51" s="310"/>
      <c r="F51" s="310"/>
      <c r="G51" s="57">
        <f>G47+G45+G42+G40</f>
        <v>15205.519999999999</v>
      </c>
    </row>
    <row r="52" spans="1:7" ht="15.75" customHeight="1">
      <c r="A52" s="58"/>
      <c r="B52" s="59"/>
      <c r="C52" s="60"/>
      <c r="D52" s="61"/>
      <c r="E52" s="62"/>
      <c r="F52" s="63"/>
      <c r="G52" s="64"/>
    </row>
    <row r="53" spans="1:7" ht="15.75" customHeight="1">
      <c r="A53" s="31" t="s">
        <v>108</v>
      </c>
      <c r="B53" s="309" t="s">
        <v>109</v>
      </c>
      <c r="C53" s="309"/>
      <c r="D53" s="32"/>
      <c r="E53" s="33"/>
      <c r="F53" s="34"/>
      <c r="G53" s="35"/>
    </row>
    <row r="54" spans="1:7" ht="15.75" customHeight="1">
      <c r="A54" s="31" t="s">
        <v>110</v>
      </c>
      <c r="B54" s="304" t="s">
        <v>111</v>
      </c>
      <c r="C54" s="304"/>
      <c r="D54" s="42"/>
      <c r="E54" s="43"/>
      <c r="F54" s="44"/>
      <c r="G54" s="45">
        <f>SUM(G55)</f>
        <v>3057.44</v>
      </c>
    </row>
    <row r="55" spans="1:7" ht="25.5" customHeight="1">
      <c r="A55" s="14" t="s">
        <v>112</v>
      </c>
      <c r="B55" s="15">
        <v>103322</v>
      </c>
      <c r="C55" s="37" t="s">
        <v>113</v>
      </c>
      <c r="D55" s="38" t="s">
        <v>27</v>
      </c>
      <c r="E55" s="28">
        <f>(3.85*2+0.6+2.6+1.5+1.8+1.65)*1.1*2.9+5*0.6*2.7</f>
        <v>58.661500000000004</v>
      </c>
      <c r="F55" s="40">
        <v>52.12</v>
      </c>
      <c r="G55" s="20">
        <f>ROUND(F55*E55,2)</f>
        <v>3057.44</v>
      </c>
    </row>
    <row r="56" spans="1:7" ht="15.75" customHeight="1">
      <c r="A56" s="31" t="s">
        <v>114</v>
      </c>
      <c r="B56" s="304" t="s">
        <v>115</v>
      </c>
      <c r="C56" s="304"/>
      <c r="D56" s="42"/>
      <c r="E56" s="43"/>
      <c r="F56" s="44"/>
      <c r="G56" s="45">
        <f>SUM(G57:G59)</f>
        <v>10196.24</v>
      </c>
    </row>
    <row r="57" spans="1:7" ht="15.75" customHeight="1">
      <c r="A57" s="14" t="s">
        <v>116</v>
      </c>
      <c r="B57" s="15">
        <v>87879</v>
      </c>
      <c r="C57" s="37" t="s">
        <v>117</v>
      </c>
      <c r="D57" s="38" t="s">
        <v>27</v>
      </c>
      <c r="E57" s="28">
        <f>E55*2</f>
        <v>117.32300000000001</v>
      </c>
      <c r="F57" s="40">
        <v>3.59</v>
      </c>
      <c r="G57" s="20">
        <f>ROUND(F57*E57,2)</f>
        <v>421.19</v>
      </c>
    </row>
    <row r="58" spans="1:7" ht="25.5" customHeight="1">
      <c r="A58" s="14" t="s">
        <v>118</v>
      </c>
      <c r="B58" s="15">
        <v>87794</v>
      </c>
      <c r="C58" s="37" t="s">
        <v>119</v>
      </c>
      <c r="D58" s="38" t="s">
        <v>27</v>
      </c>
      <c r="E58" s="28">
        <f>E57</f>
        <v>117.32300000000001</v>
      </c>
      <c r="F58" s="56">
        <v>35.39</v>
      </c>
      <c r="G58" s="20">
        <f>ROUND(F58*E58,2)</f>
        <v>4152.0600000000004</v>
      </c>
    </row>
    <row r="59" spans="1:7" ht="25.5" customHeight="1">
      <c r="A59" s="14" t="s">
        <v>120</v>
      </c>
      <c r="B59" s="49" t="s">
        <v>121</v>
      </c>
      <c r="C59" s="37" t="s">
        <v>122</v>
      </c>
      <c r="D59" s="38" t="s">
        <v>27</v>
      </c>
      <c r="E59" s="28">
        <f>(4.5+3.85*2+3+3.85*4+1.65*2)*2.85</f>
        <v>96.614999999999995</v>
      </c>
      <c r="F59" s="56">
        <v>58.2</v>
      </c>
      <c r="G59" s="20">
        <f>ROUND(F59*E59,2)</f>
        <v>5622.99</v>
      </c>
    </row>
    <row r="60" spans="1:7" ht="15.75" customHeight="1">
      <c r="A60" s="31" t="s">
        <v>123</v>
      </c>
      <c r="B60" s="304" t="s">
        <v>124</v>
      </c>
      <c r="C60" s="304"/>
      <c r="D60" s="42"/>
      <c r="E60" s="43"/>
      <c r="F60" s="44"/>
      <c r="G60" s="45">
        <f>SUM(G61:G64)</f>
        <v>4546.54</v>
      </c>
    </row>
    <row r="61" spans="1:7" ht="15.75" customHeight="1">
      <c r="A61" s="14" t="s">
        <v>125</v>
      </c>
      <c r="B61" s="49">
        <v>88485</v>
      </c>
      <c r="C61" s="37" t="s">
        <v>126</v>
      </c>
      <c r="D61" s="38" t="s">
        <v>27</v>
      </c>
      <c r="E61" s="28">
        <f>(8.38*2+4*8+0.6*2+2.6*2+1.5+2+1.8*2)*3+(4.3+3)*0.6*7</f>
        <v>217.44000000000003</v>
      </c>
      <c r="F61" s="56">
        <v>2.72</v>
      </c>
      <c r="G61" s="20">
        <f>ROUND(F61*E61,2)</f>
        <v>591.44000000000005</v>
      </c>
    </row>
    <row r="62" spans="1:7" ht="15.75" customHeight="1">
      <c r="A62" s="14" t="s">
        <v>127</v>
      </c>
      <c r="B62" s="49">
        <v>88489</v>
      </c>
      <c r="C62" s="37" t="s">
        <v>128</v>
      </c>
      <c r="D62" s="38" t="s">
        <v>27</v>
      </c>
      <c r="E62" s="28">
        <f>E61-E66</f>
        <v>152.55000000000001</v>
      </c>
      <c r="F62" s="56">
        <v>12.37</v>
      </c>
      <c r="G62" s="20">
        <f>ROUND(F62*E62,2)</f>
        <v>1887.04</v>
      </c>
    </row>
    <row r="63" spans="1:7" ht="25.5" customHeight="1">
      <c r="A63" s="14" t="s">
        <v>129</v>
      </c>
      <c r="B63" s="15">
        <v>100719</v>
      </c>
      <c r="C63" s="37" t="s">
        <v>130</v>
      </c>
      <c r="D63" s="38" t="s">
        <v>27</v>
      </c>
      <c r="E63" s="28">
        <f>23.76+3*2.5+0.75*2.1*2*3</f>
        <v>40.71</v>
      </c>
      <c r="F63" s="56">
        <v>9.33</v>
      </c>
      <c r="G63" s="20">
        <f>ROUND(F63*E63,2)</f>
        <v>379.82</v>
      </c>
    </row>
    <row r="64" spans="1:7" ht="38.25" customHeight="1">
      <c r="A64" s="14" t="s">
        <v>131</v>
      </c>
      <c r="B64" s="15">
        <v>100761</v>
      </c>
      <c r="C64" s="37" t="s">
        <v>132</v>
      </c>
      <c r="D64" s="38" t="s">
        <v>27</v>
      </c>
      <c r="E64" s="28">
        <f>E63</f>
        <v>40.71</v>
      </c>
      <c r="F64" s="56">
        <v>41.47</v>
      </c>
      <c r="G64" s="20">
        <f>ROUND(F64*E64,2)</f>
        <v>1688.24</v>
      </c>
    </row>
    <row r="65" spans="1:7" ht="15.75" customHeight="1">
      <c r="A65" s="31" t="s">
        <v>133</v>
      </c>
      <c r="B65" s="304" t="s">
        <v>134</v>
      </c>
      <c r="C65" s="304"/>
      <c r="D65" s="42"/>
      <c r="E65" s="43"/>
      <c r="F65" s="44"/>
      <c r="G65" s="45">
        <f>SUM(G66)</f>
        <v>932.47</v>
      </c>
    </row>
    <row r="66" spans="1:7" ht="15.75" customHeight="1">
      <c r="A66" s="14" t="s">
        <v>135</v>
      </c>
      <c r="B66" s="15">
        <v>88423</v>
      </c>
      <c r="C66" s="37" t="s">
        <v>136</v>
      </c>
      <c r="D66" s="38" t="s">
        <v>27</v>
      </c>
      <c r="E66" s="28">
        <f>(8.38+8+0.6+3.15+1.5)*3</f>
        <v>64.890000000000015</v>
      </c>
      <c r="F66" s="56">
        <v>14.37</v>
      </c>
      <c r="G66" s="20">
        <f>ROUND(F66*E66,2)</f>
        <v>932.47</v>
      </c>
    </row>
    <row r="67" spans="1:7" ht="15.75" customHeight="1">
      <c r="A67" s="31" t="s">
        <v>137</v>
      </c>
      <c r="B67" s="304" t="s">
        <v>138</v>
      </c>
      <c r="C67" s="304"/>
      <c r="D67" s="42"/>
      <c r="E67" s="43"/>
      <c r="F67" s="44"/>
      <c r="G67" s="45">
        <f>SUM(G68:G70)</f>
        <v>2786.19</v>
      </c>
    </row>
    <row r="68" spans="1:7" ht="25.5" customHeight="1">
      <c r="A68" s="14" t="s">
        <v>139</v>
      </c>
      <c r="B68" s="15">
        <v>87251</v>
      </c>
      <c r="C68" s="16" t="s">
        <v>140</v>
      </c>
      <c r="D68" s="38" t="s">
        <v>27</v>
      </c>
      <c r="E68" s="65">
        <f>16.8+6.35*2</f>
        <v>29.5</v>
      </c>
      <c r="F68" s="29">
        <v>47.11</v>
      </c>
      <c r="G68" s="20">
        <f>ROUND(F68*E68,2)</f>
        <v>1389.75</v>
      </c>
    </row>
    <row r="69" spans="1:7" ht="25.5" customHeight="1">
      <c r="A69" s="14" t="s">
        <v>141</v>
      </c>
      <c r="B69" s="49">
        <v>98680</v>
      </c>
      <c r="C69" s="37" t="s">
        <v>142</v>
      </c>
      <c r="D69" s="38" t="s">
        <v>27</v>
      </c>
      <c r="E69" s="50">
        <v>26.38</v>
      </c>
      <c r="F69" s="29">
        <v>39.01</v>
      </c>
      <c r="G69" s="20">
        <f>ROUND(F69*E69,2)</f>
        <v>1029.08</v>
      </c>
    </row>
    <row r="70" spans="1:7" ht="15.75" customHeight="1">
      <c r="A70" s="14" t="s">
        <v>143</v>
      </c>
      <c r="B70" s="49" t="s">
        <v>144</v>
      </c>
      <c r="C70" s="37" t="s">
        <v>145</v>
      </c>
      <c r="D70" s="38" t="s">
        <v>31</v>
      </c>
      <c r="E70" s="28">
        <f>8.38+4*6+1.5+1+2+2.85+1.5</f>
        <v>41.230000000000004</v>
      </c>
      <c r="F70" s="56">
        <v>8.91</v>
      </c>
      <c r="G70" s="20">
        <f>ROUND(F70*E70,2)</f>
        <v>367.36</v>
      </c>
    </row>
    <row r="71" spans="1:7" ht="15.75" customHeight="1">
      <c r="A71" s="31" t="s">
        <v>146</v>
      </c>
      <c r="B71" s="304" t="s">
        <v>147</v>
      </c>
      <c r="C71" s="304"/>
      <c r="D71" s="42"/>
      <c r="E71" s="43"/>
      <c r="F71" s="44"/>
      <c r="G71" s="45">
        <f>SUM(G72:G75)</f>
        <v>46929.08</v>
      </c>
    </row>
    <row r="72" spans="1:7" ht="15.75" customHeight="1">
      <c r="A72" s="14" t="s">
        <v>148</v>
      </c>
      <c r="B72" s="49" t="s">
        <v>149</v>
      </c>
      <c r="C72" s="37" t="s">
        <v>150</v>
      </c>
      <c r="D72" s="38" t="s">
        <v>27</v>
      </c>
      <c r="E72" s="28">
        <f>1.5*2.1*3</f>
        <v>9.4500000000000011</v>
      </c>
      <c r="F72" s="56">
        <v>278.35000000000002</v>
      </c>
      <c r="G72" s="20">
        <f>ROUND(F72*E72,2)</f>
        <v>2630.41</v>
      </c>
    </row>
    <row r="73" spans="1:7" ht="38.25" customHeight="1">
      <c r="A73" s="14" t="s">
        <v>151</v>
      </c>
      <c r="B73" s="49" t="s">
        <v>152</v>
      </c>
      <c r="C73" s="37" t="s">
        <v>153</v>
      </c>
      <c r="D73" s="38" t="s">
        <v>31</v>
      </c>
      <c r="E73" s="28">
        <v>50.65</v>
      </c>
      <c r="F73" s="40">
        <v>795.13</v>
      </c>
      <c r="G73" s="20">
        <f>ROUND(F73*E73,2)</f>
        <v>40273.33</v>
      </c>
    </row>
    <row r="74" spans="1:7" ht="25.5" customHeight="1">
      <c r="A74" s="14" t="s">
        <v>154</v>
      </c>
      <c r="B74" s="49" t="s">
        <v>155</v>
      </c>
      <c r="C74" s="37" t="s">
        <v>156</v>
      </c>
      <c r="D74" s="38" t="s">
        <v>27</v>
      </c>
      <c r="E74" s="28">
        <v>5.41</v>
      </c>
      <c r="F74" s="40">
        <v>241.72</v>
      </c>
      <c r="G74" s="20">
        <f>ROUND(F74*E74,2)</f>
        <v>1307.71</v>
      </c>
    </row>
    <row r="75" spans="1:7" ht="15.75" customHeight="1">
      <c r="A75" s="14" t="s">
        <v>157</v>
      </c>
      <c r="B75" s="49" t="s">
        <v>158</v>
      </c>
      <c r="C75" s="37" t="s">
        <v>159</v>
      </c>
      <c r="D75" s="38" t="s">
        <v>27</v>
      </c>
      <c r="E75" s="28">
        <f>3*2.5</f>
        <v>7.5</v>
      </c>
      <c r="F75" s="56">
        <v>362.35</v>
      </c>
      <c r="G75" s="20">
        <f>ROUND(F75*E75,2)</f>
        <v>2717.63</v>
      </c>
    </row>
    <row r="76" spans="1:7" ht="15.75" customHeight="1">
      <c r="A76" s="31" t="s">
        <v>160</v>
      </c>
      <c r="B76" s="304" t="s">
        <v>161</v>
      </c>
      <c r="C76" s="304"/>
      <c r="D76" s="42"/>
      <c r="E76" s="43"/>
      <c r="F76" s="44"/>
      <c r="G76" s="45">
        <f>SUM(G77:G78)</f>
        <v>6227</v>
      </c>
    </row>
    <row r="77" spans="1:7" ht="15.75" customHeight="1">
      <c r="A77" s="14" t="s">
        <v>162</v>
      </c>
      <c r="B77" s="49" t="s">
        <v>163</v>
      </c>
      <c r="C77" s="37" t="s">
        <v>164</v>
      </c>
      <c r="D77" s="38" t="s">
        <v>27</v>
      </c>
      <c r="E77" s="28">
        <f>2.65*0.6</f>
        <v>1.5899999999999999</v>
      </c>
      <c r="F77" s="40">
        <v>213.46</v>
      </c>
      <c r="G77" s="20">
        <f>ROUND(F77*E77,2)</f>
        <v>339.4</v>
      </c>
    </row>
    <row r="78" spans="1:7" ht="25.5" customHeight="1">
      <c r="A78" s="14" t="s">
        <v>165</v>
      </c>
      <c r="B78" s="49" t="s">
        <v>166</v>
      </c>
      <c r="C78" s="37" t="s">
        <v>167</v>
      </c>
      <c r="D78" s="38" t="s">
        <v>27</v>
      </c>
      <c r="E78" s="28">
        <v>34.770000000000003</v>
      </c>
      <c r="F78" s="40">
        <v>169.33</v>
      </c>
      <c r="G78" s="20">
        <f>ROUND(F78*E78,2)</f>
        <v>5887.6</v>
      </c>
    </row>
    <row r="79" spans="1:7" ht="15.75" customHeight="1">
      <c r="A79" s="310" t="s">
        <v>168</v>
      </c>
      <c r="B79" s="310"/>
      <c r="C79" s="310"/>
      <c r="D79" s="310"/>
      <c r="E79" s="310"/>
      <c r="F79" s="310"/>
      <c r="G79" s="57">
        <f>G76+G71+G67+G65+G60+G56+G54</f>
        <v>74674.960000000006</v>
      </c>
    </row>
    <row r="80" spans="1:7" ht="15.75" customHeight="1">
      <c r="A80" s="26"/>
      <c r="B80" s="66"/>
      <c r="C80" s="60"/>
      <c r="D80" s="61"/>
      <c r="E80" s="62"/>
      <c r="F80" s="63"/>
      <c r="G80" s="64"/>
    </row>
    <row r="81" spans="1:7" ht="15.75" customHeight="1">
      <c r="A81" s="31" t="s">
        <v>169</v>
      </c>
      <c r="B81" s="308" t="s">
        <v>170</v>
      </c>
      <c r="C81" s="308"/>
      <c r="D81" s="67"/>
      <c r="E81" s="5"/>
      <c r="F81" s="68"/>
      <c r="G81" s="69"/>
    </row>
    <row r="82" spans="1:7" ht="15.75" customHeight="1">
      <c r="A82" s="14" t="s">
        <v>171</v>
      </c>
      <c r="B82" s="15">
        <v>98504</v>
      </c>
      <c r="C82" s="16" t="s">
        <v>172</v>
      </c>
      <c r="D82" s="70" t="s">
        <v>27</v>
      </c>
      <c r="E82" s="28">
        <v>83.77</v>
      </c>
      <c r="F82" s="40">
        <v>12.45</v>
      </c>
      <c r="G82" s="20">
        <f>ROUND(F82*E82,2)</f>
        <v>1042.94</v>
      </c>
    </row>
    <row r="83" spans="1:7" ht="15.75" customHeight="1">
      <c r="A83" s="14" t="s">
        <v>173</v>
      </c>
      <c r="B83" s="15">
        <v>98520</v>
      </c>
      <c r="C83" s="16" t="s">
        <v>174</v>
      </c>
      <c r="D83" s="70" t="s">
        <v>27</v>
      </c>
      <c r="E83" s="28">
        <f>E82</f>
        <v>83.77</v>
      </c>
      <c r="F83" s="40">
        <v>5.23</v>
      </c>
      <c r="G83" s="20">
        <f>ROUND(F83*E83,2)</f>
        <v>438.12</v>
      </c>
    </row>
    <row r="84" spans="1:7" ht="15.75" customHeight="1">
      <c r="A84" s="14" t="s">
        <v>175</v>
      </c>
      <c r="B84" s="49">
        <v>98510</v>
      </c>
      <c r="C84" s="37" t="s">
        <v>176</v>
      </c>
      <c r="D84" s="38" t="s">
        <v>177</v>
      </c>
      <c r="E84" s="28">
        <v>6</v>
      </c>
      <c r="F84" s="40">
        <v>69.099999999999994</v>
      </c>
      <c r="G84" s="20">
        <f>ROUND(F84*E84,2)</f>
        <v>414.6</v>
      </c>
    </row>
    <row r="85" spans="1:7" ht="15.75" customHeight="1">
      <c r="A85" s="310" t="s">
        <v>178</v>
      </c>
      <c r="B85" s="310"/>
      <c r="C85" s="310"/>
      <c r="D85" s="310"/>
      <c r="E85" s="310"/>
      <c r="F85" s="310"/>
      <c r="G85" s="57">
        <f>SUM(G82:G84)</f>
        <v>1895.6599999999999</v>
      </c>
    </row>
    <row r="86" spans="1:7" ht="15.75" customHeight="1">
      <c r="A86" s="26"/>
      <c r="B86" s="66"/>
      <c r="C86" s="60"/>
      <c r="D86" s="61"/>
      <c r="E86" s="62"/>
      <c r="F86" s="63"/>
      <c r="G86" s="64"/>
    </row>
    <row r="87" spans="1:7" ht="15.75" customHeight="1">
      <c r="A87" s="31" t="s">
        <v>179</v>
      </c>
      <c r="B87" s="308" t="s">
        <v>180</v>
      </c>
      <c r="C87" s="308"/>
      <c r="D87" s="67"/>
      <c r="E87" s="5"/>
      <c r="F87" s="68"/>
      <c r="G87" s="69"/>
    </row>
    <row r="88" spans="1:7" ht="25.5" customHeight="1">
      <c r="A88" s="14" t="s">
        <v>181</v>
      </c>
      <c r="B88" s="49" t="s">
        <v>182</v>
      </c>
      <c r="C88" s="37" t="s">
        <v>183</v>
      </c>
      <c r="D88" s="38" t="s">
        <v>184</v>
      </c>
      <c r="E88" s="28">
        <v>1</v>
      </c>
      <c r="F88" s="39">
        <v>165.32</v>
      </c>
      <c r="G88" s="20">
        <f>ROUND(F88*E88,2)</f>
        <v>165.32</v>
      </c>
    </row>
    <row r="89" spans="1:7" ht="15.75" customHeight="1">
      <c r="A89" s="14" t="s">
        <v>185</v>
      </c>
      <c r="B89" s="49" t="s">
        <v>186</v>
      </c>
      <c r="C89" s="37" t="s">
        <v>187</v>
      </c>
      <c r="D89" s="38" t="s">
        <v>184</v>
      </c>
      <c r="E89" s="28">
        <v>5</v>
      </c>
      <c r="F89" s="39">
        <v>31.52</v>
      </c>
      <c r="G89" s="20">
        <f>ROUND(F89*E89,2)</f>
        <v>157.6</v>
      </c>
    </row>
    <row r="90" spans="1:7" ht="15.75" customHeight="1">
      <c r="A90" s="310" t="s">
        <v>188</v>
      </c>
      <c r="B90" s="310"/>
      <c r="C90" s="310"/>
      <c r="D90" s="310"/>
      <c r="E90" s="310"/>
      <c r="F90" s="310"/>
      <c r="G90" s="57">
        <f>SUM(G88:G89)</f>
        <v>322.91999999999996</v>
      </c>
    </row>
    <row r="91" spans="1:7" ht="15.75" customHeight="1">
      <c r="A91" s="26"/>
      <c r="B91" s="66"/>
      <c r="C91" s="60"/>
      <c r="D91" s="61"/>
      <c r="E91" s="62"/>
      <c r="F91" s="63"/>
      <c r="G91" s="64"/>
    </row>
    <row r="92" spans="1:7" ht="15.75" customHeight="1">
      <c r="A92" s="31" t="s">
        <v>189</v>
      </c>
      <c r="B92" s="308" t="s">
        <v>190</v>
      </c>
      <c r="C92" s="308"/>
      <c r="D92" s="67"/>
      <c r="E92" s="5"/>
      <c r="F92" s="68"/>
      <c r="G92" s="69"/>
    </row>
    <row r="93" spans="1:7" ht="15.75" customHeight="1">
      <c r="A93" s="31" t="s">
        <v>191</v>
      </c>
      <c r="B93" s="304" t="s">
        <v>192</v>
      </c>
      <c r="C93" s="304"/>
      <c r="D93" s="42"/>
      <c r="E93" s="43"/>
      <c r="F93" s="44"/>
      <c r="G93" s="45">
        <f>SUM(G94:G120)</f>
        <v>9000.3299999999981</v>
      </c>
    </row>
    <row r="94" spans="1:7" ht="38.25" customHeight="1">
      <c r="A94" s="71" t="s">
        <v>193</v>
      </c>
      <c r="B94" s="49">
        <v>86942</v>
      </c>
      <c r="C94" s="37" t="s">
        <v>194</v>
      </c>
      <c r="D94" s="38" t="s">
        <v>184</v>
      </c>
      <c r="E94" s="28">
        <v>1</v>
      </c>
      <c r="F94" s="39">
        <v>240.34</v>
      </c>
      <c r="G94" s="20">
        <f t="shared" ref="G94:G120" si="1">ROUND(F94*E94,2)</f>
        <v>240.34</v>
      </c>
    </row>
    <row r="95" spans="1:7" ht="15.75" customHeight="1">
      <c r="A95" s="71" t="s">
        <v>195</v>
      </c>
      <c r="B95" s="49">
        <v>86913</v>
      </c>
      <c r="C95" s="37" t="s">
        <v>196</v>
      </c>
      <c r="D95" s="38" t="s">
        <v>184</v>
      </c>
      <c r="E95" s="28">
        <v>2</v>
      </c>
      <c r="F95" s="39">
        <v>45.41</v>
      </c>
      <c r="G95" s="20">
        <f t="shared" si="1"/>
        <v>90.82</v>
      </c>
    </row>
    <row r="96" spans="1:7" ht="25.5" customHeight="1">
      <c r="A96" s="71" t="s">
        <v>197</v>
      </c>
      <c r="B96" s="49" t="s">
        <v>198</v>
      </c>
      <c r="C96" s="37" t="s">
        <v>199</v>
      </c>
      <c r="D96" s="38" t="s">
        <v>184</v>
      </c>
      <c r="E96" s="28">
        <v>1</v>
      </c>
      <c r="F96" s="39">
        <v>1364.52</v>
      </c>
      <c r="G96" s="20">
        <f t="shared" si="1"/>
        <v>1364.52</v>
      </c>
    </row>
    <row r="97" spans="1:7" ht="25.5" customHeight="1">
      <c r="A97" s="71" t="s">
        <v>200</v>
      </c>
      <c r="B97" s="49">
        <v>89712</v>
      </c>
      <c r="C97" s="37" t="s">
        <v>201</v>
      </c>
      <c r="D97" s="38" t="s">
        <v>31</v>
      </c>
      <c r="E97" s="28">
        <v>19.3</v>
      </c>
      <c r="F97" s="39">
        <v>28.98</v>
      </c>
      <c r="G97" s="20">
        <f t="shared" si="1"/>
        <v>559.30999999999995</v>
      </c>
    </row>
    <row r="98" spans="1:7" ht="25.5" customHeight="1">
      <c r="A98" s="71" t="s">
        <v>202</v>
      </c>
      <c r="B98" s="49">
        <v>89711</v>
      </c>
      <c r="C98" s="37" t="s">
        <v>203</v>
      </c>
      <c r="D98" s="38" t="s">
        <v>31</v>
      </c>
      <c r="E98" s="28">
        <v>37.22</v>
      </c>
      <c r="F98" s="39">
        <v>19.23</v>
      </c>
      <c r="G98" s="20">
        <f t="shared" si="1"/>
        <v>715.74</v>
      </c>
    </row>
    <row r="99" spans="1:7" ht="38.25" customHeight="1">
      <c r="A99" s="71" t="s">
        <v>204</v>
      </c>
      <c r="B99" s="49" t="s">
        <v>205</v>
      </c>
      <c r="C99" s="37" t="s">
        <v>206</v>
      </c>
      <c r="D99" s="38" t="s">
        <v>184</v>
      </c>
      <c r="E99" s="28">
        <v>1</v>
      </c>
      <c r="F99" s="39">
        <v>709.25</v>
      </c>
      <c r="G99" s="20">
        <f t="shared" si="1"/>
        <v>709.25</v>
      </c>
    </row>
    <row r="100" spans="1:7" ht="15.75" customHeight="1">
      <c r="A100" s="71" t="s">
        <v>207</v>
      </c>
      <c r="B100" s="49" t="s">
        <v>208</v>
      </c>
      <c r="C100" s="37" t="s">
        <v>209</v>
      </c>
      <c r="D100" s="38" t="s">
        <v>184</v>
      </c>
      <c r="E100" s="28">
        <v>3</v>
      </c>
      <c r="F100" s="39">
        <v>22.78</v>
      </c>
      <c r="G100" s="20">
        <f t="shared" si="1"/>
        <v>68.34</v>
      </c>
    </row>
    <row r="101" spans="1:7" ht="15.75" customHeight="1">
      <c r="A101" s="71" t="s">
        <v>210</v>
      </c>
      <c r="B101" s="49" t="s">
        <v>211</v>
      </c>
      <c r="C101" s="37" t="s">
        <v>212</v>
      </c>
      <c r="D101" s="38" t="s">
        <v>184</v>
      </c>
      <c r="E101" s="28">
        <v>2</v>
      </c>
      <c r="F101" s="39">
        <v>7.09</v>
      </c>
      <c r="G101" s="20">
        <f t="shared" si="1"/>
        <v>14.18</v>
      </c>
    </row>
    <row r="102" spans="1:7" ht="15.75" customHeight="1">
      <c r="A102" s="71" t="s">
        <v>213</v>
      </c>
      <c r="B102" s="49">
        <v>89707</v>
      </c>
      <c r="C102" s="37" t="s">
        <v>214</v>
      </c>
      <c r="D102" s="38" t="s">
        <v>184</v>
      </c>
      <c r="E102" s="28">
        <v>1</v>
      </c>
      <c r="F102" s="39">
        <v>38.03</v>
      </c>
      <c r="G102" s="20">
        <f t="shared" si="1"/>
        <v>38.03</v>
      </c>
    </row>
    <row r="103" spans="1:7" ht="25.5" customHeight="1">
      <c r="A103" s="71" t="s">
        <v>215</v>
      </c>
      <c r="B103" s="49">
        <v>103001</v>
      </c>
      <c r="C103" s="37" t="s">
        <v>216</v>
      </c>
      <c r="D103" s="38" t="s">
        <v>184</v>
      </c>
      <c r="E103" s="28">
        <v>4</v>
      </c>
      <c r="F103" s="39">
        <v>168.37</v>
      </c>
      <c r="G103" s="20">
        <f t="shared" si="1"/>
        <v>673.48</v>
      </c>
    </row>
    <row r="104" spans="1:7" ht="38.25" customHeight="1">
      <c r="A104" s="71" t="s">
        <v>217</v>
      </c>
      <c r="B104" s="49" t="s">
        <v>218</v>
      </c>
      <c r="C104" s="37" t="s">
        <v>219</v>
      </c>
      <c r="D104" s="38" t="s">
        <v>184</v>
      </c>
      <c r="E104" s="28">
        <v>1</v>
      </c>
      <c r="F104" s="39">
        <v>519.29999999999995</v>
      </c>
      <c r="G104" s="20">
        <f t="shared" si="1"/>
        <v>519.29999999999995</v>
      </c>
    </row>
    <row r="105" spans="1:7" ht="38.25" customHeight="1">
      <c r="A105" s="71" t="s">
        <v>220</v>
      </c>
      <c r="B105" s="49" t="s">
        <v>221</v>
      </c>
      <c r="C105" s="37" t="s">
        <v>222</v>
      </c>
      <c r="D105" s="38" t="s">
        <v>184</v>
      </c>
      <c r="E105" s="28">
        <v>1</v>
      </c>
      <c r="F105" s="39">
        <v>173.74</v>
      </c>
      <c r="G105" s="20">
        <f t="shared" si="1"/>
        <v>173.74</v>
      </c>
    </row>
    <row r="106" spans="1:7" ht="15.75" customHeight="1">
      <c r="A106" s="71" t="s">
        <v>223</v>
      </c>
      <c r="B106" s="49" t="s">
        <v>224</v>
      </c>
      <c r="C106" s="37" t="s">
        <v>225</v>
      </c>
      <c r="D106" s="38" t="s">
        <v>184</v>
      </c>
      <c r="E106" s="28">
        <v>1</v>
      </c>
      <c r="F106" s="39">
        <v>54.59</v>
      </c>
      <c r="G106" s="20">
        <f t="shared" si="1"/>
        <v>54.59</v>
      </c>
    </row>
    <row r="107" spans="1:7" ht="15.75" customHeight="1">
      <c r="A107" s="71" t="s">
        <v>226</v>
      </c>
      <c r="B107" s="49" t="s">
        <v>227</v>
      </c>
      <c r="C107" s="37" t="s">
        <v>228</v>
      </c>
      <c r="D107" s="38" t="s">
        <v>184</v>
      </c>
      <c r="E107" s="28">
        <v>1</v>
      </c>
      <c r="F107" s="39">
        <v>56.49</v>
      </c>
      <c r="G107" s="20">
        <f t="shared" si="1"/>
        <v>56.49</v>
      </c>
    </row>
    <row r="108" spans="1:7" ht="15.75" customHeight="1">
      <c r="A108" s="71" t="s">
        <v>229</v>
      </c>
      <c r="B108" s="49">
        <v>89784</v>
      </c>
      <c r="C108" s="37" t="s">
        <v>230</v>
      </c>
      <c r="D108" s="38" t="s">
        <v>184</v>
      </c>
      <c r="E108" s="28">
        <v>3</v>
      </c>
      <c r="F108" s="39">
        <v>19.95</v>
      </c>
      <c r="G108" s="20">
        <f t="shared" si="1"/>
        <v>59.85</v>
      </c>
    </row>
    <row r="109" spans="1:7" ht="15.75" customHeight="1">
      <c r="A109" s="71" t="s">
        <v>231</v>
      </c>
      <c r="B109" s="49">
        <v>89782</v>
      </c>
      <c r="C109" s="37" t="s">
        <v>232</v>
      </c>
      <c r="D109" s="38" t="s">
        <v>184</v>
      </c>
      <c r="E109" s="28">
        <v>15</v>
      </c>
      <c r="F109" s="39">
        <v>11.74</v>
      </c>
      <c r="G109" s="20">
        <f t="shared" si="1"/>
        <v>176.1</v>
      </c>
    </row>
    <row r="110" spans="1:7" ht="15.75" customHeight="1">
      <c r="A110" s="71" t="s">
        <v>233</v>
      </c>
      <c r="B110" s="49">
        <v>89726</v>
      </c>
      <c r="C110" s="37" t="s">
        <v>234</v>
      </c>
      <c r="D110" s="38" t="s">
        <v>184</v>
      </c>
      <c r="E110" s="28">
        <v>7</v>
      </c>
      <c r="F110" s="39">
        <v>6.87</v>
      </c>
      <c r="G110" s="20">
        <f t="shared" si="1"/>
        <v>48.09</v>
      </c>
    </row>
    <row r="111" spans="1:7" ht="15.75" customHeight="1">
      <c r="A111" s="71" t="s">
        <v>235</v>
      </c>
      <c r="B111" s="49">
        <v>89732</v>
      </c>
      <c r="C111" s="37" t="s">
        <v>236</v>
      </c>
      <c r="D111" s="38" t="s">
        <v>184</v>
      </c>
      <c r="E111" s="28">
        <v>1</v>
      </c>
      <c r="F111" s="39">
        <v>11.27</v>
      </c>
      <c r="G111" s="20">
        <f t="shared" si="1"/>
        <v>11.27</v>
      </c>
    </row>
    <row r="112" spans="1:7" ht="15.75" customHeight="1">
      <c r="A112" s="71" t="s">
        <v>237</v>
      </c>
      <c r="B112" s="49">
        <v>89724</v>
      </c>
      <c r="C112" s="37" t="s">
        <v>238</v>
      </c>
      <c r="D112" s="38" t="s">
        <v>184</v>
      </c>
      <c r="E112" s="28">
        <v>27</v>
      </c>
      <c r="F112" s="39">
        <v>10.119999999999999</v>
      </c>
      <c r="G112" s="20">
        <f t="shared" si="1"/>
        <v>273.24</v>
      </c>
    </row>
    <row r="113" spans="1:7" ht="15.75" customHeight="1">
      <c r="A113" s="71" t="s">
        <v>239</v>
      </c>
      <c r="B113" s="49">
        <v>89801</v>
      </c>
      <c r="C113" s="37" t="s">
        <v>240</v>
      </c>
      <c r="D113" s="38" t="s">
        <v>184</v>
      </c>
      <c r="E113" s="28">
        <v>4</v>
      </c>
      <c r="F113" s="39">
        <v>6.85</v>
      </c>
      <c r="G113" s="20">
        <f t="shared" si="1"/>
        <v>27.4</v>
      </c>
    </row>
    <row r="114" spans="1:7" ht="18" customHeight="1">
      <c r="A114" s="71" t="s">
        <v>241</v>
      </c>
      <c r="B114" s="15">
        <v>89827</v>
      </c>
      <c r="C114" s="37" t="s">
        <v>242</v>
      </c>
      <c r="D114" s="38" t="s">
        <v>177</v>
      </c>
      <c r="E114" s="28">
        <v>2</v>
      </c>
      <c r="F114" s="39">
        <v>17.68</v>
      </c>
      <c r="G114" s="20">
        <f t="shared" si="1"/>
        <v>35.36</v>
      </c>
    </row>
    <row r="115" spans="1:7" ht="15.75" customHeight="1">
      <c r="A115" s="71" t="s">
        <v>243</v>
      </c>
      <c r="B115" s="15">
        <v>89752</v>
      </c>
      <c r="C115" s="37" t="s">
        <v>244</v>
      </c>
      <c r="D115" s="38" t="s">
        <v>177</v>
      </c>
      <c r="E115" s="28">
        <v>5</v>
      </c>
      <c r="F115" s="39">
        <v>5.97</v>
      </c>
      <c r="G115" s="20">
        <f t="shared" si="1"/>
        <v>29.85</v>
      </c>
    </row>
    <row r="116" spans="1:7" ht="15.75" customHeight="1">
      <c r="A116" s="71" t="s">
        <v>245</v>
      </c>
      <c r="B116" s="15">
        <v>89813</v>
      </c>
      <c r="C116" s="37" t="s">
        <v>246</v>
      </c>
      <c r="D116" s="38" t="s">
        <v>177</v>
      </c>
      <c r="E116" s="28">
        <v>7</v>
      </c>
      <c r="F116" s="39">
        <v>6.92</v>
      </c>
      <c r="G116" s="20">
        <f t="shared" si="1"/>
        <v>48.44</v>
      </c>
    </row>
    <row r="117" spans="1:7" ht="15.75" customHeight="1">
      <c r="A117" s="71" t="s">
        <v>247</v>
      </c>
      <c r="B117" s="49">
        <v>94492</v>
      </c>
      <c r="C117" s="37" t="s">
        <v>248</v>
      </c>
      <c r="D117" s="38" t="s">
        <v>184</v>
      </c>
      <c r="E117" s="28">
        <v>2</v>
      </c>
      <c r="F117" s="39">
        <v>54.89</v>
      </c>
      <c r="G117" s="20">
        <f t="shared" si="1"/>
        <v>109.78</v>
      </c>
    </row>
    <row r="118" spans="1:7" ht="25.5" customHeight="1">
      <c r="A118" s="71" t="s">
        <v>249</v>
      </c>
      <c r="B118" s="49">
        <v>89713</v>
      </c>
      <c r="C118" s="37" t="s">
        <v>250</v>
      </c>
      <c r="D118" s="38" t="s">
        <v>31</v>
      </c>
      <c r="E118" s="28">
        <v>60</v>
      </c>
      <c r="F118" s="39">
        <v>43.77</v>
      </c>
      <c r="G118" s="20">
        <f t="shared" si="1"/>
        <v>2626.2</v>
      </c>
    </row>
    <row r="119" spans="1:7" ht="25.5" customHeight="1">
      <c r="A119" s="71" t="s">
        <v>251</v>
      </c>
      <c r="B119" s="49">
        <v>89774</v>
      </c>
      <c r="C119" s="37" t="s">
        <v>252</v>
      </c>
      <c r="D119" s="38" t="s">
        <v>31</v>
      </c>
      <c r="E119" s="28">
        <v>10</v>
      </c>
      <c r="F119" s="39">
        <v>15.19</v>
      </c>
      <c r="G119" s="20">
        <f t="shared" si="1"/>
        <v>151.9</v>
      </c>
    </row>
    <row r="120" spans="1:7" ht="25.5" customHeight="1">
      <c r="A120" s="71" t="s">
        <v>253</v>
      </c>
      <c r="B120" s="49">
        <v>89806</v>
      </c>
      <c r="C120" s="37" t="s">
        <v>254</v>
      </c>
      <c r="D120" s="38" t="s">
        <v>184</v>
      </c>
      <c r="E120" s="28">
        <v>8</v>
      </c>
      <c r="F120" s="39">
        <v>15.59</v>
      </c>
      <c r="G120" s="20">
        <f t="shared" si="1"/>
        <v>124.72</v>
      </c>
    </row>
    <row r="121" spans="1:7" ht="15.75" customHeight="1">
      <c r="A121" s="31" t="s">
        <v>255</v>
      </c>
      <c r="B121" s="304" t="s">
        <v>256</v>
      </c>
      <c r="C121" s="304"/>
      <c r="D121" s="42"/>
      <c r="E121" s="43"/>
      <c r="F121" s="44"/>
      <c r="G121" s="45">
        <f>SUM(G122:G130)</f>
        <v>2209.7399999999998</v>
      </c>
    </row>
    <row r="122" spans="1:7" ht="25.5" customHeight="1">
      <c r="A122" s="14" t="s">
        <v>257</v>
      </c>
      <c r="B122" s="49">
        <v>90373</v>
      </c>
      <c r="C122" s="37" t="s">
        <v>258</v>
      </c>
      <c r="D122" s="38" t="s">
        <v>184</v>
      </c>
      <c r="E122" s="28">
        <v>3</v>
      </c>
      <c r="F122" s="39">
        <v>16.07</v>
      </c>
      <c r="G122" s="20">
        <f t="shared" ref="G122:G130" si="2">ROUND(F122*E122,2)</f>
        <v>48.21</v>
      </c>
    </row>
    <row r="123" spans="1:7" ht="25.5" customHeight="1">
      <c r="A123" s="14" t="s">
        <v>259</v>
      </c>
      <c r="B123" s="49">
        <v>89987</v>
      </c>
      <c r="C123" s="37" t="s">
        <v>260</v>
      </c>
      <c r="D123" s="38" t="s">
        <v>184</v>
      </c>
      <c r="E123" s="28">
        <v>1</v>
      </c>
      <c r="F123" s="39">
        <v>105.29</v>
      </c>
      <c r="G123" s="20">
        <f t="shared" si="2"/>
        <v>105.29</v>
      </c>
    </row>
    <row r="124" spans="1:7" ht="38.25" customHeight="1">
      <c r="A124" s="14" t="s">
        <v>261</v>
      </c>
      <c r="B124" s="49" t="s">
        <v>221</v>
      </c>
      <c r="C124" s="37" t="s">
        <v>222</v>
      </c>
      <c r="D124" s="38" t="s">
        <v>184</v>
      </c>
      <c r="E124" s="28">
        <v>1</v>
      </c>
      <c r="F124" s="39">
        <v>173.74</v>
      </c>
      <c r="G124" s="20">
        <f t="shared" si="2"/>
        <v>173.74</v>
      </c>
    </row>
    <row r="125" spans="1:7" ht="25.5" customHeight="1">
      <c r="A125" s="14" t="s">
        <v>262</v>
      </c>
      <c r="B125" s="49">
        <v>89362</v>
      </c>
      <c r="C125" s="37" t="s">
        <v>263</v>
      </c>
      <c r="D125" s="38" t="s">
        <v>184</v>
      </c>
      <c r="E125" s="28">
        <v>31</v>
      </c>
      <c r="F125" s="39">
        <v>8.1300000000000008</v>
      </c>
      <c r="G125" s="20">
        <f t="shared" si="2"/>
        <v>252.03</v>
      </c>
    </row>
    <row r="126" spans="1:7" ht="25.5" customHeight="1">
      <c r="A126" s="14" t="s">
        <v>264</v>
      </c>
      <c r="B126" s="49">
        <v>89395</v>
      </c>
      <c r="C126" s="37" t="s">
        <v>265</v>
      </c>
      <c r="D126" s="38" t="s">
        <v>184</v>
      </c>
      <c r="E126" s="28">
        <v>3</v>
      </c>
      <c r="F126" s="39">
        <v>11.42</v>
      </c>
      <c r="G126" s="20">
        <f t="shared" si="2"/>
        <v>34.26</v>
      </c>
    </row>
    <row r="127" spans="1:7" ht="25.5" customHeight="1">
      <c r="A127" s="14" t="s">
        <v>266</v>
      </c>
      <c r="B127" s="49">
        <v>89396</v>
      </c>
      <c r="C127" s="37" t="s">
        <v>267</v>
      </c>
      <c r="D127" s="38" t="s">
        <v>184</v>
      </c>
      <c r="E127" s="28">
        <v>1</v>
      </c>
      <c r="F127" s="39">
        <v>22.57</v>
      </c>
      <c r="G127" s="20">
        <f t="shared" si="2"/>
        <v>22.57</v>
      </c>
    </row>
    <row r="128" spans="1:7" ht="25.5" customHeight="1">
      <c r="A128" s="14" t="s">
        <v>268</v>
      </c>
      <c r="B128" s="49">
        <v>89383</v>
      </c>
      <c r="C128" s="37" t="s">
        <v>269</v>
      </c>
      <c r="D128" s="38" t="s">
        <v>184</v>
      </c>
      <c r="E128" s="28">
        <v>2</v>
      </c>
      <c r="F128" s="39">
        <v>6.32</v>
      </c>
      <c r="G128" s="20">
        <f t="shared" si="2"/>
        <v>12.64</v>
      </c>
    </row>
    <row r="129" spans="1:7" ht="25.5" customHeight="1">
      <c r="A129" s="14" t="s">
        <v>270</v>
      </c>
      <c r="B129" s="49">
        <v>89356</v>
      </c>
      <c r="C129" s="37" t="s">
        <v>271</v>
      </c>
      <c r="D129" s="38" t="s">
        <v>31</v>
      </c>
      <c r="E129" s="28">
        <f>32+40</f>
        <v>72</v>
      </c>
      <c r="F129" s="39">
        <v>20.99</v>
      </c>
      <c r="G129" s="20">
        <f t="shared" si="2"/>
        <v>1511.28</v>
      </c>
    </row>
    <row r="130" spans="1:7" ht="25.5" customHeight="1">
      <c r="A130" s="14" t="s">
        <v>272</v>
      </c>
      <c r="B130" s="49">
        <v>89424</v>
      </c>
      <c r="C130" s="37" t="s">
        <v>273</v>
      </c>
      <c r="D130" s="38" t="s">
        <v>184</v>
      </c>
      <c r="E130" s="28">
        <v>11</v>
      </c>
      <c r="F130" s="39">
        <v>4.5199999999999996</v>
      </c>
      <c r="G130" s="20">
        <f t="shared" si="2"/>
        <v>49.72</v>
      </c>
    </row>
    <row r="131" spans="1:7" ht="14.25" customHeight="1">
      <c r="A131" s="305" t="s">
        <v>274</v>
      </c>
      <c r="B131" s="305"/>
      <c r="C131" s="305"/>
      <c r="D131" s="305"/>
      <c r="E131" s="305"/>
      <c r="F131" s="305"/>
      <c r="G131" s="57">
        <f>SUM(G121,G93)</f>
        <v>11210.069999999998</v>
      </c>
    </row>
    <row r="132" spans="1:7" ht="14.25" customHeight="1">
      <c r="A132" s="26"/>
      <c r="B132" s="66"/>
      <c r="C132" s="60"/>
      <c r="D132" s="61"/>
      <c r="E132" s="62"/>
      <c r="F132" s="63"/>
      <c r="G132" s="64"/>
    </row>
    <row r="133" spans="1:7" ht="14.25" customHeight="1">
      <c r="A133" s="31" t="s">
        <v>275</v>
      </c>
      <c r="B133" s="308" t="s">
        <v>276</v>
      </c>
      <c r="C133" s="308"/>
      <c r="D133" s="67"/>
      <c r="E133" s="5"/>
      <c r="F133" s="68"/>
      <c r="G133" s="69"/>
    </row>
    <row r="134" spans="1:7" ht="25.5" customHeight="1">
      <c r="A134" s="14" t="s">
        <v>277</v>
      </c>
      <c r="B134" s="49">
        <v>92979</v>
      </c>
      <c r="C134" s="37" t="s">
        <v>278</v>
      </c>
      <c r="D134" s="38" t="s">
        <v>31</v>
      </c>
      <c r="E134" s="72">
        <v>300</v>
      </c>
      <c r="F134" s="39">
        <v>9.5299999999999994</v>
      </c>
      <c r="G134" s="20">
        <f t="shared" ref="G134:G150" si="3">ROUND(F134*E134,2)</f>
        <v>2859</v>
      </c>
    </row>
    <row r="135" spans="1:7" ht="25.5" customHeight="1">
      <c r="A135" s="14" t="s">
        <v>279</v>
      </c>
      <c r="B135" s="49">
        <v>101878</v>
      </c>
      <c r="C135" s="37" t="s">
        <v>280</v>
      </c>
      <c r="D135" s="38" t="s">
        <v>8</v>
      </c>
      <c r="E135" s="28">
        <v>1</v>
      </c>
      <c r="F135" s="73">
        <v>693.94</v>
      </c>
      <c r="G135" s="20">
        <f t="shared" si="3"/>
        <v>693.94</v>
      </c>
    </row>
    <row r="136" spans="1:7" ht="25.5" customHeight="1">
      <c r="A136" s="14" t="s">
        <v>281</v>
      </c>
      <c r="B136" s="49">
        <v>93672</v>
      </c>
      <c r="C136" s="37" t="s">
        <v>282</v>
      </c>
      <c r="D136" s="38" t="s">
        <v>8</v>
      </c>
      <c r="E136" s="28">
        <v>2</v>
      </c>
      <c r="F136" s="39">
        <v>135.93</v>
      </c>
      <c r="G136" s="20">
        <f t="shared" si="3"/>
        <v>271.86</v>
      </c>
    </row>
    <row r="137" spans="1:7" ht="25.5" customHeight="1">
      <c r="A137" s="14" t="s">
        <v>283</v>
      </c>
      <c r="B137" s="49" t="s">
        <v>284</v>
      </c>
      <c r="C137" s="37" t="s">
        <v>285</v>
      </c>
      <c r="D137" s="38" t="s">
        <v>31</v>
      </c>
      <c r="E137" s="28">
        <v>75</v>
      </c>
      <c r="F137" s="39">
        <v>20</v>
      </c>
      <c r="G137" s="20">
        <f t="shared" si="3"/>
        <v>1500</v>
      </c>
    </row>
    <row r="138" spans="1:7" ht="25.5" customHeight="1">
      <c r="A138" s="14" t="s">
        <v>286</v>
      </c>
      <c r="B138" s="49">
        <v>97667</v>
      </c>
      <c r="C138" s="37" t="s">
        <v>287</v>
      </c>
      <c r="D138" s="38" t="s">
        <v>31</v>
      </c>
      <c r="E138" s="28">
        <v>36</v>
      </c>
      <c r="F138" s="39">
        <v>7.32</v>
      </c>
      <c r="G138" s="20">
        <f t="shared" si="3"/>
        <v>263.52</v>
      </c>
    </row>
    <row r="139" spans="1:7" ht="25.5" customHeight="1">
      <c r="A139" s="14" t="s">
        <v>288</v>
      </c>
      <c r="B139" s="49" t="s">
        <v>289</v>
      </c>
      <c r="C139" s="37" t="s">
        <v>290</v>
      </c>
      <c r="D139" s="38" t="s">
        <v>8</v>
      </c>
      <c r="E139" s="28">
        <v>1</v>
      </c>
      <c r="F139" s="39">
        <v>607.29</v>
      </c>
      <c r="G139" s="20">
        <f t="shared" si="3"/>
        <v>607.29</v>
      </c>
    </row>
    <row r="140" spans="1:7" ht="25.5" customHeight="1">
      <c r="A140" s="14" t="s">
        <v>291</v>
      </c>
      <c r="B140" s="49">
        <v>93653</v>
      </c>
      <c r="C140" s="37" t="s">
        <v>292</v>
      </c>
      <c r="D140" s="38" t="s">
        <v>8</v>
      </c>
      <c r="E140" s="28">
        <v>1</v>
      </c>
      <c r="F140" s="39">
        <v>18.7</v>
      </c>
      <c r="G140" s="20">
        <f t="shared" si="3"/>
        <v>18.7</v>
      </c>
    </row>
    <row r="141" spans="1:7" ht="25.5" customHeight="1">
      <c r="A141" s="14" t="s">
        <v>293</v>
      </c>
      <c r="B141" s="49">
        <v>93655</v>
      </c>
      <c r="C141" s="37" t="s">
        <v>294</v>
      </c>
      <c r="D141" s="38" t="s">
        <v>8</v>
      </c>
      <c r="E141" s="28">
        <v>1</v>
      </c>
      <c r="F141" s="39">
        <v>20.28</v>
      </c>
      <c r="G141" s="20">
        <f t="shared" si="3"/>
        <v>20.28</v>
      </c>
    </row>
    <row r="142" spans="1:7" ht="25.5" customHeight="1">
      <c r="A142" s="14" t="s">
        <v>295</v>
      </c>
      <c r="B142" s="49">
        <v>91924</v>
      </c>
      <c r="C142" s="37" t="s">
        <v>296</v>
      </c>
      <c r="D142" s="38" t="s">
        <v>31</v>
      </c>
      <c r="E142" s="28">
        <v>200</v>
      </c>
      <c r="F142" s="39">
        <v>2.5499999999999998</v>
      </c>
      <c r="G142" s="20">
        <f t="shared" si="3"/>
        <v>510</v>
      </c>
    </row>
    <row r="143" spans="1:7" ht="25.5" customHeight="1">
      <c r="A143" s="14" t="s">
        <v>297</v>
      </c>
      <c r="B143" s="49">
        <v>91926</v>
      </c>
      <c r="C143" s="37" t="s">
        <v>298</v>
      </c>
      <c r="D143" s="38" t="s">
        <v>31</v>
      </c>
      <c r="E143" s="28">
        <v>180</v>
      </c>
      <c r="F143" s="39">
        <v>3.73</v>
      </c>
      <c r="G143" s="20">
        <f t="shared" si="3"/>
        <v>671.4</v>
      </c>
    </row>
    <row r="144" spans="1:7" ht="25.5" customHeight="1">
      <c r="A144" s="14" t="s">
        <v>299</v>
      </c>
      <c r="B144" s="49" t="s">
        <v>300</v>
      </c>
      <c r="C144" s="37" t="s">
        <v>301</v>
      </c>
      <c r="D144" s="38" t="s">
        <v>8</v>
      </c>
      <c r="E144" s="28">
        <v>5</v>
      </c>
      <c r="F144" s="39">
        <v>40.380000000000003</v>
      </c>
      <c r="G144" s="20">
        <f t="shared" si="3"/>
        <v>201.9</v>
      </c>
    </row>
    <row r="145" spans="1:7" ht="25.5" customHeight="1">
      <c r="A145" s="14" t="s">
        <v>302</v>
      </c>
      <c r="B145" s="49" t="s">
        <v>303</v>
      </c>
      <c r="C145" s="37" t="s">
        <v>304</v>
      </c>
      <c r="D145" s="38" t="s">
        <v>8</v>
      </c>
      <c r="E145" s="28">
        <v>5</v>
      </c>
      <c r="F145" s="39">
        <v>35.76</v>
      </c>
      <c r="G145" s="20">
        <f t="shared" si="3"/>
        <v>178.8</v>
      </c>
    </row>
    <row r="146" spans="1:7" ht="25.5" customHeight="1">
      <c r="A146" s="14" t="s">
        <v>305</v>
      </c>
      <c r="B146" s="49">
        <v>96986</v>
      </c>
      <c r="C146" s="37" t="s">
        <v>306</v>
      </c>
      <c r="D146" s="38" t="s">
        <v>8</v>
      </c>
      <c r="E146" s="28">
        <v>3</v>
      </c>
      <c r="F146" s="39">
        <v>137.49</v>
      </c>
      <c r="G146" s="20">
        <f t="shared" si="3"/>
        <v>412.47</v>
      </c>
    </row>
    <row r="147" spans="1:7" ht="25.5" customHeight="1">
      <c r="A147" s="14" t="s">
        <v>307</v>
      </c>
      <c r="B147" s="49">
        <v>98111</v>
      </c>
      <c r="C147" s="37" t="s">
        <v>308</v>
      </c>
      <c r="D147" s="38" t="s">
        <v>8</v>
      </c>
      <c r="E147" s="28">
        <v>3</v>
      </c>
      <c r="F147" s="39">
        <v>52.11</v>
      </c>
      <c r="G147" s="20">
        <f t="shared" si="3"/>
        <v>156.33000000000001</v>
      </c>
    </row>
    <row r="148" spans="1:7" ht="25.5" customHeight="1">
      <c r="A148" s="14" t="s">
        <v>309</v>
      </c>
      <c r="B148" s="49" t="s">
        <v>310</v>
      </c>
      <c r="C148" s="37" t="s">
        <v>311</v>
      </c>
      <c r="D148" s="38" t="s">
        <v>31</v>
      </c>
      <c r="E148" s="28">
        <v>10</v>
      </c>
      <c r="F148" s="39">
        <v>11.45</v>
      </c>
      <c r="G148" s="20">
        <f t="shared" si="3"/>
        <v>114.5</v>
      </c>
    </row>
    <row r="149" spans="1:7" ht="25.5" customHeight="1">
      <c r="A149" s="14" t="s">
        <v>312</v>
      </c>
      <c r="B149" s="49" t="s">
        <v>313</v>
      </c>
      <c r="C149" s="37" t="s">
        <v>314</v>
      </c>
      <c r="D149" s="38" t="s">
        <v>8</v>
      </c>
      <c r="E149" s="28">
        <v>12</v>
      </c>
      <c r="F149" s="39">
        <v>36.53</v>
      </c>
      <c r="G149" s="20">
        <f t="shared" si="3"/>
        <v>438.36</v>
      </c>
    </row>
    <row r="150" spans="1:7" ht="25.5" customHeight="1">
      <c r="A150" s="14" t="s">
        <v>315</v>
      </c>
      <c r="B150" s="49" t="s">
        <v>316</v>
      </c>
      <c r="C150" s="37" t="s">
        <v>317</v>
      </c>
      <c r="D150" s="38" t="s">
        <v>8</v>
      </c>
      <c r="E150" s="28">
        <v>4</v>
      </c>
      <c r="F150" s="39">
        <v>34.200000000000003</v>
      </c>
      <c r="G150" s="20">
        <f t="shared" si="3"/>
        <v>136.80000000000001</v>
      </c>
    </row>
    <row r="151" spans="1:7" ht="14.25" customHeight="1">
      <c r="A151" s="310" t="s">
        <v>318</v>
      </c>
      <c r="B151" s="310"/>
      <c r="C151" s="310"/>
      <c r="D151" s="310"/>
      <c r="E151" s="310"/>
      <c r="F151" s="310"/>
      <c r="G151" s="57">
        <f>SUM(G134:G150)</f>
        <v>9055.1499999999978</v>
      </c>
    </row>
    <row r="152" spans="1:7" ht="15.75" customHeight="1">
      <c r="A152" s="26"/>
      <c r="B152" s="66"/>
      <c r="C152" s="60"/>
      <c r="D152" s="61"/>
      <c r="E152" s="62"/>
      <c r="F152" s="63"/>
      <c r="G152" s="64"/>
    </row>
    <row r="153" spans="1:7" ht="15.75" customHeight="1">
      <c r="A153" s="31" t="s">
        <v>319</v>
      </c>
      <c r="B153" s="308" t="s">
        <v>320</v>
      </c>
      <c r="C153" s="308"/>
      <c r="D153" s="67"/>
      <c r="E153" s="5"/>
      <c r="F153" s="68"/>
      <c r="G153" s="69"/>
    </row>
    <row r="154" spans="1:7" ht="15.75" customHeight="1">
      <c r="A154" s="14" t="s">
        <v>321</v>
      </c>
      <c r="B154" s="49" t="s">
        <v>322</v>
      </c>
      <c r="C154" s="37" t="s">
        <v>323</v>
      </c>
      <c r="D154" s="38" t="s">
        <v>27</v>
      </c>
      <c r="E154" s="28">
        <f>14.4*12.4+15</f>
        <v>193.56</v>
      </c>
      <c r="F154" s="56">
        <v>5.69</v>
      </c>
      <c r="G154" s="20">
        <f>ROUND(F154*E154,2)</f>
        <v>1101.3599999999999</v>
      </c>
    </row>
    <row r="155" spans="1:7" ht="15.75" customHeight="1">
      <c r="A155" s="14" t="s">
        <v>324</v>
      </c>
      <c r="B155" s="49">
        <v>93358</v>
      </c>
      <c r="C155" s="37" t="s">
        <v>325</v>
      </c>
      <c r="D155" s="38" t="s">
        <v>43</v>
      </c>
      <c r="E155" s="28">
        <v>10.25</v>
      </c>
      <c r="F155" s="56">
        <v>66.5</v>
      </c>
      <c r="G155" s="20">
        <f>ROUND(F155*E155,2)</f>
        <v>681.63</v>
      </c>
    </row>
    <row r="156" spans="1:7" ht="25.5" customHeight="1">
      <c r="A156" s="14" t="s">
        <v>326</v>
      </c>
      <c r="B156" s="66" t="s">
        <v>327</v>
      </c>
      <c r="C156" s="37" t="s">
        <v>328</v>
      </c>
      <c r="D156" s="38" t="s">
        <v>184</v>
      </c>
      <c r="E156" s="28">
        <f>4+3</f>
        <v>7</v>
      </c>
      <c r="F156" s="39">
        <v>44.59</v>
      </c>
      <c r="G156" s="20">
        <f>ROUND(F156*E156,2)</f>
        <v>312.13</v>
      </c>
    </row>
    <row r="157" spans="1:7" ht="25.5" customHeight="1">
      <c r="A157" s="14" t="s">
        <v>329</v>
      </c>
      <c r="B157" s="66" t="s">
        <v>330</v>
      </c>
      <c r="C157" s="37" t="s">
        <v>331</v>
      </c>
      <c r="D157" s="38" t="s">
        <v>184</v>
      </c>
      <c r="E157" s="28">
        <v>6</v>
      </c>
      <c r="F157" s="39">
        <v>48.61</v>
      </c>
      <c r="G157" s="20">
        <f>ROUND(F157*E157,2)</f>
        <v>291.66000000000003</v>
      </c>
    </row>
    <row r="158" spans="1:7" ht="15.75" customHeight="1">
      <c r="A158" s="305" t="s">
        <v>332</v>
      </c>
      <c r="B158" s="305"/>
      <c r="C158" s="305"/>
      <c r="D158" s="305"/>
      <c r="E158" s="305"/>
      <c r="F158" s="305"/>
      <c r="G158" s="30">
        <f>SUM(G154:G157)</f>
        <v>2386.7799999999997</v>
      </c>
    </row>
    <row r="159" spans="1:7" ht="15.75" customHeight="1">
      <c r="A159" s="74"/>
      <c r="B159" s="75"/>
      <c r="C159" s="76"/>
      <c r="D159" s="77"/>
      <c r="E159" s="78"/>
      <c r="F159" s="79"/>
      <c r="G159" s="80"/>
    </row>
    <row r="160" spans="1:7" ht="15.75" customHeight="1">
      <c r="A160" s="31">
        <v>5</v>
      </c>
      <c r="B160" s="309" t="s">
        <v>333</v>
      </c>
      <c r="C160" s="309"/>
      <c r="D160" s="32"/>
      <c r="E160" s="32"/>
      <c r="F160" s="34"/>
      <c r="G160" s="35"/>
    </row>
    <row r="161" spans="1:7" ht="15.75" customHeight="1">
      <c r="A161" s="31" t="s">
        <v>334</v>
      </c>
      <c r="B161" s="309" t="s">
        <v>38</v>
      </c>
      <c r="C161" s="309"/>
      <c r="D161" s="32"/>
      <c r="E161" s="32"/>
      <c r="F161" s="34"/>
      <c r="G161" s="35"/>
    </row>
    <row r="162" spans="1:7" ht="15.75" customHeight="1">
      <c r="A162" s="41" t="s">
        <v>335</v>
      </c>
      <c r="B162" s="304" t="s">
        <v>336</v>
      </c>
      <c r="C162" s="304"/>
      <c r="D162" s="42"/>
      <c r="E162" s="43"/>
      <c r="F162" s="44"/>
      <c r="G162" s="45">
        <f>SUM(G163:G172)</f>
        <v>6175.48</v>
      </c>
    </row>
    <row r="163" spans="1:7" ht="15.75" customHeight="1">
      <c r="A163" s="46" t="s">
        <v>337</v>
      </c>
      <c r="B163" s="15">
        <v>93358</v>
      </c>
      <c r="C163" s="37" t="s">
        <v>338</v>
      </c>
      <c r="D163" s="38" t="s">
        <v>43</v>
      </c>
      <c r="E163" s="28">
        <f>(8.3*0.35*0.5)*4</f>
        <v>5.8100000000000005</v>
      </c>
      <c r="F163" s="40">
        <v>66.5</v>
      </c>
      <c r="G163" s="20">
        <f t="shared" ref="G163:G172" si="4">ROUND(F163*E163,2)</f>
        <v>386.37</v>
      </c>
    </row>
    <row r="164" spans="1:7" ht="15.75" customHeight="1">
      <c r="A164" s="46" t="s">
        <v>339</v>
      </c>
      <c r="B164" s="15">
        <v>93382</v>
      </c>
      <c r="C164" s="37" t="s">
        <v>47</v>
      </c>
      <c r="D164" s="38" t="s">
        <v>43</v>
      </c>
      <c r="E164" s="28">
        <f>E163-E166</f>
        <v>4.3160000000000007</v>
      </c>
      <c r="F164" s="40">
        <v>27.29</v>
      </c>
      <c r="G164" s="20">
        <f t="shared" si="4"/>
        <v>117.78</v>
      </c>
    </row>
    <row r="165" spans="1:7" ht="25.5" customHeight="1">
      <c r="A165" s="46" t="s">
        <v>340</v>
      </c>
      <c r="B165" s="15" t="s">
        <v>49</v>
      </c>
      <c r="C165" s="37" t="s">
        <v>341</v>
      </c>
      <c r="D165" s="38" t="s">
        <v>27</v>
      </c>
      <c r="E165" s="28">
        <f>3.8*4</f>
        <v>15.2</v>
      </c>
      <c r="F165" s="40">
        <v>4.12</v>
      </c>
      <c r="G165" s="20">
        <f t="shared" si="4"/>
        <v>62.62</v>
      </c>
    </row>
    <row r="166" spans="1:7" ht="25.5" customHeight="1">
      <c r="A166" s="46" t="s">
        <v>342</v>
      </c>
      <c r="B166" s="15">
        <v>96557</v>
      </c>
      <c r="C166" s="52" t="s">
        <v>52</v>
      </c>
      <c r="D166" s="38" t="s">
        <v>43</v>
      </c>
      <c r="E166" s="28">
        <f>(8.3*0.15*0.3)*4</f>
        <v>1.494</v>
      </c>
      <c r="F166" s="40">
        <v>512.79999999999995</v>
      </c>
      <c r="G166" s="20">
        <f t="shared" si="4"/>
        <v>766.12</v>
      </c>
    </row>
    <row r="167" spans="1:7" ht="25.5" customHeight="1">
      <c r="A167" s="46" t="s">
        <v>343</v>
      </c>
      <c r="B167" s="53" t="s">
        <v>54</v>
      </c>
      <c r="C167" s="37" t="s">
        <v>344</v>
      </c>
      <c r="D167" s="38" t="s">
        <v>27</v>
      </c>
      <c r="E167" s="28">
        <f>((7.7+8.9)*0.3+(8.9*0.1))*4</f>
        <v>23.480000000000004</v>
      </c>
      <c r="F167" s="40">
        <v>52.57</v>
      </c>
      <c r="G167" s="20">
        <f t="shared" si="4"/>
        <v>1234.3399999999999</v>
      </c>
    </row>
    <row r="168" spans="1:7" ht="15.75" customHeight="1">
      <c r="A168" s="46" t="s">
        <v>345</v>
      </c>
      <c r="B168" s="53">
        <v>98557</v>
      </c>
      <c r="C168" s="37" t="s">
        <v>57</v>
      </c>
      <c r="D168" s="38" t="s">
        <v>27</v>
      </c>
      <c r="E168" s="28">
        <f>((8.3*0.15)+(7.7*0.3)+(8.9*0.3))*4</f>
        <v>24.9</v>
      </c>
      <c r="F168" s="40">
        <v>36.22</v>
      </c>
      <c r="G168" s="20">
        <f t="shared" si="4"/>
        <v>901.88</v>
      </c>
    </row>
    <row r="169" spans="1:7" ht="25.5" customHeight="1">
      <c r="A169" s="46" t="s">
        <v>346</v>
      </c>
      <c r="B169" s="49">
        <v>96543</v>
      </c>
      <c r="C169" s="37" t="s">
        <v>59</v>
      </c>
      <c r="D169" s="38" t="s">
        <v>60</v>
      </c>
      <c r="E169" s="28">
        <f>((8.3/0.2*1)*0.109)*4</f>
        <v>18.094000000000001</v>
      </c>
      <c r="F169" s="40">
        <v>17.920000000000002</v>
      </c>
      <c r="G169" s="20">
        <f t="shared" si="4"/>
        <v>324.24</v>
      </c>
    </row>
    <row r="170" spans="1:7" ht="25.5" customHeight="1">
      <c r="A170" s="46" t="s">
        <v>347</v>
      </c>
      <c r="B170" s="49">
        <v>96545</v>
      </c>
      <c r="C170" s="37" t="s">
        <v>62</v>
      </c>
      <c r="D170" s="38" t="s">
        <v>60</v>
      </c>
      <c r="E170" s="28">
        <f>(8.3*4*0.395)*4</f>
        <v>52.45600000000001</v>
      </c>
      <c r="F170" s="40">
        <v>15.58</v>
      </c>
      <c r="G170" s="20">
        <f t="shared" si="4"/>
        <v>817.26</v>
      </c>
    </row>
    <row r="171" spans="1:7" ht="25.5" customHeight="1">
      <c r="A171" s="46" t="s">
        <v>348</v>
      </c>
      <c r="B171" s="49">
        <v>93205</v>
      </c>
      <c r="C171" s="37" t="s">
        <v>349</v>
      </c>
      <c r="D171" s="38" t="s">
        <v>31</v>
      </c>
      <c r="E171" s="28">
        <f>8.3*4</f>
        <v>33.200000000000003</v>
      </c>
      <c r="F171" s="39">
        <v>33.61</v>
      </c>
      <c r="G171" s="20">
        <f t="shared" si="4"/>
        <v>1115.8499999999999</v>
      </c>
    </row>
    <row r="172" spans="1:7" ht="15.75" customHeight="1">
      <c r="A172" s="46" t="s">
        <v>350</v>
      </c>
      <c r="B172" s="49">
        <v>89998</v>
      </c>
      <c r="C172" s="52" t="s">
        <v>351</v>
      </c>
      <c r="D172" s="38" t="s">
        <v>60</v>
      </c>
      <c r="E172" s="28">
        <f>(8.3*2*0.617)*4</f>
        <v>40.968800000000002</v>
      </c>
      <c r="F172" s="40">
        <v>10.96</v>
      </c>
      <c r="G172" s="20">
        <f t="shared" si="4"/>
        <v>449.02</v>
      </c>
    </row>
    <row r="173" spans="1:7" ht="15.75" customHeight="1">
      <c r="A173" s="41" t="s">
        <v>352</v>
      </c>
      <c r="B173" s="304" t="s">
        <v>353</v>
      </c>
      <c r="C173" s="304"/>
      <c r="D173" s="42"/>
      <c r="E173" s="43"/>
      <c r="F173" s="44"/>
      <c r="G173" s="45">
        <f>SUM(G174:G176)</f>
        <v>1613.26</v>
      </c>
    </row>
    <row r="174" spans="1:7" ht="15.75" customHeight="1">
      <c r="A174" s="36" t="s">
        <v>354</v>
      </c>
      <c r="B174" s="15" t="s">
        <v>66</v>
      </c>
      <c r="C174" s="37" t="s">
        <v>67</v>
      </c>
      <c r="D174" s="38" t="s">
        <v>27</v>
      </c>
      <c r="E174" s="28">
        <f>3.8*4</f>
        <v>15.2</v>
      </c>
      <c r="F174" s="40">
        <v>2.56</v>
      </c>
      <c r="G174" s="20">
        <f>ROUND(F174*E174,2)</f>
        <v>38.909999999999997</v>
      </c>
    </row>
    <row r="175" spans="1:7" ht="25.5" customHeight="1">
      <c r="A175" s="36" t="s">
        <v>355</v>
      </c>
      <c r="B175" s="15">
        <v>97092</v>
      </c>
      <c r="C175" s="37" t="s">
        <v>69</v>
      </c>
      <c r="D175" s="38" t="s">
        <v>60</v>
      </c>
      <c r="E175" s="28">
        <f>E174*3.11</f>
        <v>47.271999999999998</v>
      </c>
      <c r="F175" s="40">
        <v>18.100000000000001</v>
      </c>
      <c r="G175" s="20">
        <f>ROUND(F175*E175,2)</f>
        <v>855.62</v>
      </c>
    </row>
    <row r="176" spans="1:7" ht="25.5" customHeight="1">
      <c r="A176" s="36" t="s">
        <v>356</v>
      </c>
      <c r="B176" s="15">
        <v>97096</v>
      </c>
      <c r="C176" s="37" t="s">
        <v>71</v>
      </c>
      <c r="D176" s="38" t="s">
        <v>43</v>
      </c>
      <c r="E176" s="28">
        <f>E174*0.1</f>
        <v>1.52</v>
      </c>
      <c r="F176" s="40">
        <v>472.85</v>
      </c>
      <c r="G176" s="20">
        <f>ROUND(F176*E176,2)</f>
        <v>718.73</v>
      </c>
    </row>
    <row r="177" spans="1:7" ht="15.75" customHeight="1">
      <c r="A177" s="305" t="s">
        <v>357</v>
      </c>
      <c r="B177" s="305"/>
      <c r="C177" s="305"/>
      <c r="D177" s="305"/>
      <c r="E177" s="305"/>
      <c r="F177" s="305"/>
      <c r="G177" s="30">
        <f>SUM(G162,G173)</f>
        <v>7788.74</v>
      </c>
    </row>
    <row r="178" spans="1:7" ht="15.75" customHeight="1">
      <c r="A178" s="31" t="s">
        <v>358</v>
      </c>
      <c r="B178" s="309" t="s">
        <v>81</v>
      </c>
      <c r="C178" s="309"/>
      <c r="D178" s="32"/>
      <c r="E178" s="33"/>
      <c r="F178" s="34"/>
      <c r="G178" s="35"/>
    </row>
    <row r="179" spans="1:7" ht="15.75" customHeight="1">
      <c r="A179" s="41" t="s">
        <v>359</v>
      </c>
      <c r="B179" s="304" t="s">
        <v>87</v>
      </c>
      <c r="C179" s="304"/>
      <c r="D179" s="42"/>
      <c r="E179" s="43"/>
      <c r="F179" s="44"/>
      <c r="G179" s="45">
        <f>SUM(G180:G181)</f>
        <v>1554.6</v>
      </c>
    </row>
    <row r="180" spans="1:7" ht="25.5" customHeight="1">
      <c r="A180" s="36" t="s">
        <v>360</v>
      </c>
      <c r="B180" s="15">
        <v>92580</v>
      </c>
      <c r="C180" s="37" t="s">
        <v>89</v>
      </c>
      <c r="D180" s="38" t="s">
        <v>27</v>
      </c>
      <c r="E180" s="28">
        <f>5*4</f>
        <v>20</v>
      </c>
      <c r="F180" s="40">
        <v>47.41</v>
      </c>
      <c r="G180" s="20">
        <f>ROUND(F180*E180,2)</f>
        <v>948.2</v>
      </c>
    </row>
    <row r="181" spans="1:7" ht="25.5" customHeight="1">
      <c r="A181" s="36" t="s">
        <v>361</v>
      </c>
      <c r="B181" s="15" t="s">
        <v>91</v>
      </c>
      <c r="C181" s="37" t="s">
        <v>92</v>
      </c>
      <c r="D181" s="38" t="s">
        <v>27</v>
      </c>
      <c r="E181" s="28">
        <f>E180</f>
        <v>20</v>
      </c>
      <c r="F181" s="40">
        <v>30.32</v>
      </c>
      <c r="G181" s="20">
        <f>ROUND(F181*E181,2)</f>
        <v>606.4</v>
      </c>
    </row>
    <row r="182" spans="1:7" ht="15.75" customHeight="1">
      <c r="A182" s="41" t="s">
        <v>362</v>
      </c>
      <c r="B182" s="304" t="s">
        <v>363</v>
      </c>
      <c r="C182" s="304"/>
      <c r="D182" s="42"/>
      <c r="E182" s="43"/>
      <c r="F182" s="44"/>
      <c r="G182" s="45">
        <f>SUM(G183)</f>
        <v>1654.2</v>
      </c>
    </row>
    <row r="183" spans="1:7" ht="25.5" customHeight="1">
      <c r="A183" s="36" t="s">
        <v>364</v>
      </c>
      <c r="B183" s="15" t="s">
        <v>96</v>
      </c>
      <c r="C183" s="37" t="s">
        <v>97</v>
      </c>
      <c r="D183" s="38" t="s">
        <v>27</v>
      </c>
      <c r="E183" s="28">
        <f>E180</f>
        <v>20</v>
      </c>
      <c r="F183" s="40">
        <v>82.71</v>
      </c>
      <c r="G183" s="20">
        <f>ROUND(F183*E183,2)</f>
        <v>1654.2</v>
      </c>
    </row>
    <row r="184" spans="1:7" ht="15.75" customHeight="1">
      <c r="A184" s="305" t="s">
        <v>365</v>
      </c>
      <c r="B184" s="305"/>
      <c r="C184" s="305"/>
      <c r="D184" s="305"/>
      <c r="E184" s="305"/>
      <c r="F184" s="305"/>
      <c r="G184" s="30">
        <f>SUM(G179,G182)</f>
        <v>3208.8</v>
      </c>
    </row>
    <row r="185" spans="1:7" ht="15.75" customHeight="1">
      <c r="A185" s="31" t="s">
        <v>366</v>
      </c>
      <c r="B185" s="309" t="s">
        <v>109</v>
      </c>
      <c r="C185" s="309"/>
      <c r="D185" s="32"/>
      <c r="E185" s="33"/>
      <c r="F185" s="34"/>
      <c r="G185" s="35"/>
    </row>
    <row r="186" spans="1:7" ht="15.75" customHeight="1">
      <c r="A186" s="31" t="s">
        <v>367</v>
      </c>
      <c r="B186" s="304" t="s">
        <v>111</v>
      </c>
      <c r="C186" s="304"/>
      <c r="D186" s="42"/>
      <c r="E186" s="43"/>
      <c r="F186" s="44"/>
      <c r="G186" s="45">
        <f>SUM(G187)</f>
        <v>2918.72</v>
      </c>
    </row>
    <row r="187" spans="1:7" ht="25.5" customHeight="1">
      <c r="A187" s="14" t="s">
        <v>368</v>
      </c>
      <c r="B187" s="15">
        <v>103322</v>
      </c>
      <c r="C187" s="37" t="s">
        <v>113</v>
      </c>
      <c r="D187" s="38" t="s">
        <v>27</v>
      </c>
      <c r="E187" s="28">
        <f>(5.6*2.5)*4</f>
        <v>56</v>
      </c>
      <c r="F187" s="40">
        <v>52.12</v>
      </c>
      <c r="G187" s="20">
        <f>ROUND(F187*E187,2)</f>
        <v>2918.72</v>
      </c>
    </row>
    <row r="188" spans="1:7" ht="15.75" customHeight="1">
      <c r="A188" s="31" t="s">
        <v>369</v>
      </c>
      <c r="B188" s="304" t="s">
        <v>115</v>
      </c>
      <c r="C188" s="304"/>
      <c r="D188" s="42"/>
      <c r="E188" s="43"/>
      <c r="F188" s="44"/>
      <c r="G188" s="45">
        <f>SUM(G189:G191)</f>
        <v>7624.96</v>
      </c>
    </row>
    <row r="189" spans="1:7" ht="15.75" customHeight="1">
      <c r="A189" s="14" t="s">
        <v>370</v>
      </c>
      <c r="B189" s="15">
        <v>87879</v>
      </c>
      <c r="C189" s="37" t="s">
        <v>117</v>
      </c>
      <c r="D189" s="38" t="s">
        <v>27</v>
      </c>
      <c r="E189" s="28">
        <f>E187*2</f>
        <v>112</v>
      </c>
      <c r="F189" s="40">
        <v>3.59</v>
      </c>
      <c r="G189" s="20">
        <f>ROUND(F189*E189,2)</f>
        <v>402.08</v>
      </c>
    </row>
    <row r="190" spans="1:7" ht="25.5" customHeight="1">
      <c r="A190" s="14" t="s">
        <v>371</v>
      </c>
      <c r="B190" s="15">
        <v>87794</v>
      </c>
      <c r="C190" s="37" t="s">
        <v>119</v>
      </c>
      <c r="D190" s="38" t="s">
        <v>27</v>
      </c>
      <c r="E190" s="28">
        <f>E189</f>
        <v>112</v>
      </c>
      <c r="F190" s="56">
        <v>35.39</v>
      </c>
      <c r="G190" s="20">
        <f>ROUND(F190*E190,2)</f>
        <v>3963.68</v>
      </c>
    </row>
    <row r="191" spans="1:7" ht="25.5" customHeight="1">
      <c r="A191" s="14" t="s">
        <v>372</v>
      </c>
      <c r="B191" s="49" t="s">
        <v>121</v>
      </c>
      <c r="C191" s="37" t="s">
        <v>122</v>
      </c>
      <c r="D191" s="38" t="s">
        <v>27</v>
      </c>
      <c r="E191" s="28">
        <f>E187</f>
        <v>56</v>
      </c>
      <c r="F191" s="56">
        <v>58.2</v>
      </c>
      <c r="G191" s="20">
        <f>ROUND(F191*E191,2)</f>
        <v>3259.2</v>
      </c>
    </row>
    <row r="192" spans="1:7" ht="15.75" customHeight="1">
      <c r="A192" s="31" t="s">
        <v>373</v>
      </c>
      <c r="B192" s="304" t="s">
        <v>374</v>
      </c>
      <c r="C192" s="304"/>
      <c r="D192" s="42"/>
      <c r="E192" s="43"/>
      <c r="F192" s="44"/>
      <c r="G192" s="45">
        <f>SUM(G193:G194)</f>
        <v>2389.63</v>
      </c>
    </row>
    <row r="193" spans="1:7" ht="25.5" customHeight="1">
      <c r="A193" s="14" t="s">
        <v>375</v>
      </c>
      <c r="B193" s="15">
        <v>100719</v>
      </c>
      <c r="C193" s="37" t="s">
        <v>376</v>
      </c>
      <c r="D193" s="38" t="s">
        <v>27</v>
      </c>
      <c r="E193" s="28">
        <f>E201*2</f>
        <v>47.04</v>
      </c>
      <c r="F193" s="56">
        <v>9.33</v>
      </c>
      <c r="G193" s="20">
        <f>ROUND(F193*E193,2)</f>
        <v>438.88</v>
      </c>
    </row>
    <row r="194" spans="1:7" ht="25.5" customHeight="1">
      <c r="A194" s="14" t="s">
        <v>377</v>
      </c>
      <c r="B194" s="15">
        <v>100761</v>
      </c>
      <c r="C194" s="37" t="s">
        <v>378</v>
      </c>
      <c r="D194" s="38" t="s">
        <v>27</v>
      </c>
      <c r="E194" s="28">
        <f>E193</f>
        <v>47.04</v>
      </c>
      <c r="F194" s="56">
        <v>41.47</v>
      </c>
      <c r="G194" s="20">
        <f>ROUND(F194*E194,2)</f>
        <v>1950.75</v>
      </c>
    </row>
    <row r="195" spans="1:7" ht="15.75" customHeight="1">
      <c r="A195" s="31" t="s">
        <v>379</v>
      </c>
      <c r="B195" s="304" t="s">
        <v>134</v>
      </c>
      <c r="C195" s="304"/>
      <c r="D195" s="42"/>
      <c r="E195" s="43"/>
      <c r="F195" s="44"/>
      <c r="G195" s="45">
        <f>SUM(G196:G197)</f>
        <v>957.04</v>
      </c>
    </row>
    <row r="196" spans="1:7" ht="15.75" customHeight="1">
      <c r="A196" s="14" t="s">
        <v>380</v>
      </c>
      <c r="B196" s="49">
        <v>88485</v>
      </c>
      <c r="C196" s="37" t="s">
        <v>126</v>
      </c>
      <c r="D196" s="38" t="s">
        <v>27</v>
      </c>
      <c r="E196" s="28">
        <f>E187</f>
        <v>56</v>
      </c>
      <c r="F196" s="56">
        <v>2.72</v>
      </c>
      <c r="G196" s="20">
        <f>ROUND(F196*E196,2)</f>
        <v>152.32</v>
      </c>
    </row>
    <row r="197" spans="1:7" ht="15.75" customHeight="1">
      <c r="A197" s="14" t="s">
        <v>381</v>
      </c>
      <c r="B197" s="15">
        <v>88423</v>
      </c>
      <c r="C197" s="37" t="s">
        <v>136</v>
      </c>
      <c r="D197" s="38" t="s">
        <v>27</v>
      </c>
      <c r="E197" s="28">
        <f>E196</f>
        <v>56</v>
      </c>
      <c r="F197" s="56">
        <v>14.37</v>
      </c>
      <c r="G197" s="20">
        <f>ROUND(F197*E197,2)</f>
        <v>804.72</v>
      </c>
    </row>
    <row r="198" spans="1:7" ht="15.75" customHeight="1">
      <c r="A198" s="31" t="s">
        <v>382</v>
      </c>
      <c r="B198" s="304" t="s">
        <v>138</v>
      </c>
      <c r="C198" s="304"/>
      <c r="D198" s="42"/>
      <c r="E198" s="43"/>
      <c r="F198" s="44"/>
      <c r="G198" s="45">
        <f>SUM(G199)</f>
        <v>565.32000000000005</v>
      </c>
    </row>
    <row r="199" spans="1:7" ht="25.5" customHeight="1">
      <c r="A199" s="14" t="s">
        <v>383</v>
      </c>
      <c r="B199" s="15">
        <v>87251</v>
      </c>
      <c r="C199" s="16" t="s">
        <v>140</v>
      </c>
      <c r="D199" s="38" t="s">
        <v>27</v>
      </c>
      <c r="E199" s="65">
        <f>3*4</f>
        <v>12</v>
      </c>
      <c r="F199" s="29">
        <v>47.11</v>
      </c>
      <c r="G199" s="20">
        <f>ROUND(F199*E199,2)</f>
        <v>565.32000000000005</v>
      </c>
    </row>
    <row r="200" spans="1:7" ht="15.75" customHeight="1">
      <c r="A200" s="31" t="s">
        <v>384</v>
      </c>
      <c r="B200" s="304" t="s">
        <v>385</v>
      </c>
      <c r="C200" s="304"/>
      <c r="D200" s="42"/>
      <c r="E200" s="43"/>
      <c r="F200" s="44"/>
      <c r="G200" s="45">
        <f>SUM(G201:G202)</f>
        <v>8785.0499999999993</v>
      </c>
    </row>
    <row r="201" spans="1:7" ht="25.5" customHeight="1">
      <c r="A201" s="14" t="s">
        <v>386</v>
      </c>
      <c r="B201" s="49" t="s">
        <v>158</v>
      </c>
      <c r="C201" s="37" t="s">
        <v>387</v>
      </c>
      <c r="D201" s="38" t="s">
        <v>27</v>
      </c>
      <c r="E201" s="28">
        <f>(1.4*2.1*2)*4</f>
        <v>23.52</v>
      </c>
      <c r="F201" s="56">
        <v>362.35</v>
      </c>
      <c r="G201" s="20">
        <f>ROUND(F201*E201,2)</f>
        <v>8522.4699999999993</v>
      </c>
    </row>
    <row r="202" spans="1:7" ht="30" customHeight="1">
      <c r="A202" s="14" t="s">
        <v>388</v>
      </c>
      <c r="B202" s="49" t="s">
        <v>389</v>
      </c>
      <c r="C202" s="37" t="s">
        <v>390</v>
      </c>
      <c r="D202" s="38" t="s">
        <v>27</v>
      </c>
      <c r="E202" s="28">
        <f>0.9*4</f>
        <v>3.6</v>
      </c>
      <c r="F202" s="40">
        <v>72.94</v>
      </c>
      <c r="G202" s="20">
        <f>ROUND(F202*E202,2)</f>
        <v>262.58</v>
      </c>
    </row>
    <row r="203" spans="1:7" ht="15.75" customHeight="1">
      <c r="A203" s="305" t="s">
        <v>391</v>
      </c>
      <c r="B203" s="305"/>
      <c r="C203" s="305"/>
      <c r="D203" s="305"/>
      <c r="E203" s="305"/>
      <c r="F203" s="305"/>
      <c r="G203" s="30">
        <f>SUM(G200,G198,G195,G192,G188,G186)</f>
        <v>23240.720000000001</v>
      </c>
    </row>
    <row r="204" spans="1:7" ht="15.75" customHeight="1">
      <c r="A204" s="31" t="s">
        <v>392</v>
      </c>
      <c r="B204" s="308" t="s">
        <v>190</v>
      </c>
      <c r="C204" s="308"/>
      <c r="D204" s="67"/>
      <c r="E204" s="5"/>
      <c r="F204" s="68"/>
      <c r="G204" s="45"/>
    </row>
    <row r="205" spans="1:7" ht="15.75" customHeight="1">
      <c r="A205" s="71" t="s">
        <v>393</v>
      </c>
      <c r="B205" s="49">
        <v>86913</v>
      </c>
      <c r="C205" s="37" t="s">
        <v>196</v>
      </c>
      <c r="D205" s="38" t="s">
        <v>184</v>
      </c>
      <c r="E205" s="28">
        <f>1*4</f>
        <v>4</v>
      </c>
      <c r="F205" s="39">
        <v>45.41</v>
      </c>
      <c r="G205" s="20">
        <f t="shared" ref="G205:G212" si="5">ROUND(F205*E205,2)</f>
        <v>181.64</v>
      </c>
    </row>
    <row r="206" spans="1:7" ht="25.5" customHeight="1">
      <c r="A206" s="71" t="s">
        <v>394</v>
      </c>
      <c r="B206" s="49">
        <v>90373</v>
      </c>
      <c r="C206" s="37" t="s">
        <v>258</v>
      </c>
      <c r="D206" s="38" t="s">
        <v>184</v>
      </c>
      <c r="E206" s="28">
        <f>1*4</f>
        <v>4</v>
      </c>
      <c r="F206" s="39">
        <v>16.07</v>
      </c>
      <c r="G206" s="20">
        <f t="shared" si="5"/>
        <v>64.28</v>
      </c>
    </row>
    <row r="207" spans="1:7" ht="25.5" customHeight="1">
      <c r="A207" s="71" t="s">
        <v>395</v>
      </c>
      <c r="B207" s="49">
        <v>89356</v>
      </c>
      <c r="C207" s="37" t="s">
        <v>271</v>
      </c>
      <c r="D207" s="38" t="s">
        <v>31</v>
      </c>
      <c r="E207" s="28">
        <f>6*4</f>
        <v>24</v>
      </c>
      <c r="F207" s="39">
        <v>20.99</v>
      </c>
      <c r="G207" s="20">
        <f t="shared" si="5"/>
        <v>503.76</v>
      </c>
    </row>
    <row r="208" spans="1:7" ht="25.5" customHeight="1">
      <c r="A208" s="71" t="s">
        <v>396</v>
      </c>
      <c r="B208" s="49">
        <v>89362</v>
      </c>
      <c r="C208" s="37" t="s">
        <v>263</v>
      </c>
      <c r="D208" s="38" t="s">
        <v>184</v>
      </c>
      <c r="E208" s="28">
        <f>3*4</f>
        <v>12</v>
      </c>
      <c r="F208" s="39">
        <v>8.1300000000000008</v>
      </c>
      <c r="G208" s="20">
        <f t="shared" si="5"/>
        <v>97.56</v>
      </c>
    </row>
    <row r="209" spans="1:7" ht="25.5" customHeight="1">
      <c r="A209" s="71" t="s">
        <v>397</v>
      </c>
      <c r="B209" s="49">
        <v>89395</v>
      </c>
      <c r="C209" s="37" t="s">
        <v>265</v>
      </c>
      <c r="D209" s="38" t="s">
        <v>184</v>
      </c>
      <c r="E209" s="28">
        <f>1*4</f>
        <v>4</v>
      </c>
      <c r="F209" s="39">
        <v>11.42</v>
      </c>
      <c r="G209" s="20">
        <f t="shared" si="5"/>
        <v>45.68</v>
      </c>
    </row>
    <row r="210" spans="1:7" ht="15.75" customHeight="1">
      <c r="A210" s="71" t="s">
        <v>398</v>
      </c>
      <c r="B210" s="49" t="s">
        <v>208</v>
      </c>
      <c r="C210" s="37" t="s">
        <v>209</v>
      </c>
      <c r="D210" s="38" t="s">
        <v>184</v>
      </c>
      <c r="E210" s="28">
        <f>1*4</f>
        <v>4</v>
      </c>
      <c r="F210" s="39">
        <v>22.78</v>
      </c>
      <c r="G210" s="20">
        <f t="shared" si="5"/>
        <v>91.12</v>
      </c>
    </row>
    <row r="211" spans="1:7" ht="25.5" customHeight="1">
      <c r="A211" s="71" t="s">
        <v>399</v>
      </c>
      <c r="B211" s="49">
        <v>89711</v>
      </c>
      <c r="C211" s="37" t="s">
        <v>203</v>
      </c>
      <c r="D211" s="38" t="s">
        <v>31</v>
      </c>
      <c r="E211" s="28">
        <v>24.14</v>
      </c>
      <c r="F211" s="39">
        <v>19.23</v>
      </c>
      <c r="G211" s="20">
        <f t="shared" si="5"/>
        <v>464.21</v>
      </c>
    </row>
    <row r="212" spans="1:7" ht="15.75" customHeight="1">
      <c r="A212" s="71" t="s">
        <v>400</v>
      </c>
      <c r="B212" s="49">
        <v>89726</v>
      </c>
      <c r="C212" s="37" t="s">
        <v>234</v>
      </c>
      <c r="D212" s="38" t="s">
        <v>184</v>
      </c>
      <c r="E212" s="28">
        <f>2*4</f>
        <v>8</v>
      </c>
      <c r="F212" s="39">
        <v>6.87</v>
      </c>
      <c r="G212" s="20">
        <f t="shared" si="5"/>
        <v>54.96</v>
      </c>
    </row>
    <row r="213" spans="1:7" ht="15.75" customHeight="1">
      <c r="A213" s="305" t="s">
        <v>401</v>
      </c>
      <c r="B213" s="305"/>
      <c r="C213" s="305"/>
      <c r="D213" s="305"/>
      <c r="E213" s="305"/>
      <c r="F213" s="305"/>
      <c r="G213" s="30">
        <f>SUM(G205:G212)</f>
        <v>1503.21</v>
      </c>
    </row>
    <row r="214" spans="1:7" ht="15.75" customHeight="1">
      <c r="A214" s="74"/>
      <c r="B214" s="75"/>
      <c r="C214" s="76"/>
      <c r="D214" s="77"/>
      <c r="E214" s="78"/>
      <c r="F214" s="79"/>
      <c r="G214" s="80"/>
    </row>
    <row r="215" spans="1:7" ht="15.75" customHeight="1">
      <c r="A215" s="31" t="s">
        <v>402</v>
      </c>
      <c r="B215" s="304" t="s">
        <v>276</v>
      </c>
      <c r="C215" s="304"/>
      <c r="D215" s="42"/>
      <c r="E215" s="43"/>
      <c r="F215" s="81"/>
      <c r="G215" s="45"/>
    </row>
    <row r="216" spans="1:7" ht="25.5" customHeight="1">
      <c r="A216" s="71" t="s">
        <v>403</v>
      </c>
      <c r="B216" s="49">
        <v>93653</v>
      </c>
      <c r="C216" s="37" t="s">
        <v>292</v>
      </c>
      <c r="D216" s="38" t="s">
        <v>8</v>
      </c>
      <c r="E216" s="28">
        <v>4</v>
      </c>
      <c r="F216" s="39">
        <v>18.7</v>
      </c>
      <c r="G216" s="20">
        <f t="shared" ref="G216:G221" si="6">ROUND(F216*E216,2)</f>
        <v>74.8</v>
      </c>
    </row>
    <row r="217" spans="1:7" ht="25.5" customHeight="1">
      <c r="A217" s="71" t="s">
        <v>404</v>
      </c>
      <c r="B217" s="49">
        <v>91926</v>
      </c>
      <c r="C217" s="37" t="s">
        <v>298</v>
      </c>
      <c r="D217" s="38" t="s">
        <v>31</v>
      </c>
      <c r="E217" s="28">
        <v>285</v>
      </c>
      <c r="F217" s="39">
        <v>3.73</v>
      </c>
      <c r="G217" s="20">
        <f t="shared" si="6"/>
        <v>1063.05</v>
      </c>
    </row>
    <row r="218" spans="1:7" ht="25.5" customHeight="1">
      <c r="A218" s="71" t="s">
        <v>405</v>
      </c>
      <c r="B218" s="49" t="s">
        <v>284</v>
      </c>
      <c r="C218" s="37" t="s">
        <v>285</v>
      </c>
      <c r="D218" s="38" t="s">
        <v>31</v>
      </c>
      <c r="E218" s="28">
        <v>21</v>
      </c>
      <c r="F218" s="39">
        <v>20</v>
      </c>
      <c r="G218" s="20">
        <f t="shared" si="6"/>
        <v>420</v>
      </c>
    </row>
    <row r="219" spans="1:7" ht="25.5" customHeight="1">
      <c r="A219" s="71" t="s">
        <v>406</v>
      </c>
      <c r="B219" s="49" t="s">
        <v>303</v>
      </c>
      <c r="C219" s="37" t="s">
        <v>304</v>
      </c>
      <c r="D219" s="38" t="s">
        <v>8</v>
      </c>
      <c r="E219" s="28">
        <v>4</v>
      </c>
      <c r="F219" s="39">
        <v>35.76</v>
      </c>
      <c r="G219" s="20">
        <f t="shared" si="6"/>
        <v>143.04</v>
      </c>
    </row>
    <row r="220" spans="1:7" ht="25.5" customHeight="1">
      <c r="A220" s="71" t="s">
        <v>407</v>
      </c>
      <c r="B220" s="49">
        <v>97607</v>
      </c>
      <c r="C220" s="37" t="s">
        <v>408</v>
      </c>
      <c r="D220" s="38" t="s">
        <v>8</v>
      </c>
      <c r="E220" s="28">
        <v>4</v>
      </c>
      <c r="F220" s="39">
        <v>147.24</v>
      </c>
      <c r="G220" s="20">
        <f t="shared" si="6"/>
        <v>588.96</v>
      </c>
    </row>
    <row r="221" spans="1:7" ht="25.5" customHeight="1">
      <c r="A221" s="71" t="s">
        <v>409</v>
      </c>
      <c r="B221" s="49" t="s">
        <v>316</v>
      </c>
      <c r="C221" s="37" t="s">
        <v>317</v>
      </c>
      <c r="D221" s="38" t="s">
        <v>8</v>
      </c>
      <c r="E221" s="28">
        <v>4</v>
      </c>
      <c r="F221" s="39">
        <v>34.200000000000003</v>
      </c>
      <c r="G221" s="20">
        <f t="shared" si="6"/>
        <v>136.80000000000001</v>
      </c>
    </row>
    <row r="222" spans="1:7" ht="15.75" customHeight="1">
      <c r="A222" s="305" t="s">
        <v>410</v>
      </c>
      <c r="B222" s="305"/>
      <c r="C222" s="305"/>
      <c r="D222" s="305"/>
      <c r="E222" s="305"/>
      <c r="F222" s="305"/>
      <c r="G222" s="30">
        <f>SUM(G216:G221)</f>
        <v>2426.65</v>
      </c>
    </row>
    <row r="223" spans="1:7" ht="15.75" customHeight="1">
      <c r="A223" s="74"/>
      <c r="B223" s="75"/>
      <c r="C223" s="76"/>
      <c r="D223" s="77"/>
      <c r="E223" s="78"/>
      <c r="F223" s="79"/>
      <c r="G223" s="80"/>
    </row>
    <row r="224" spans="1:7" ht="15.75" customHeight="1">
      <c r="A224" s="306" t="s">
        <v>411</v>
      </c>
      <c r="B224" s="306"/>
      <c r="C224" s="306"/>
      <c r="D224" s="306"/>
      <c r="E224" s="306"/>
      <c r="F224" s="306"/>
      <c r="G224" s="82">
        <f>SUM(G222,G213,G203,G184,G177,G158,G151,G131,G90,G85,G79,G51,G37,G16,G10,G6)</f>
        <v>201828.13</v>
      </c>
    </row>
    <row r="225" spans="1:10" ht="15.75" customHeight="1">
      <c r="A225" s="306" t="s">
        <v>412</v>
      </c>
      <c r="B225" s="306"/>
      <c r="C225" s="306"/>
      <c r="D225" s="306"/>
      <c r="E225" s="306"/>
      <c r="F225" s="306"/>
      <c r="G225" s="82">
        <f>ROUND(G224*G2,2)</f>
        <v>50679.040000000001</v>
      </c>
    </row>
    <row r="226" spans="1:10" ht="15.75" customHeight="1">
      <c r="A226" s="307" t="s">
        <v>413</v>
      </c>
      <c r="B226" s="307"/>
      <c r="C226" s="307"/>
      <c r="D226" s="307"/>
      <c r="E226" s="307"/>
      <c r="F226" s="307"/>
      <c r="G226" s="83">
        <f>SUM(G224:G225)+0.02</f>
        <v>252507.19</v>
      </c>
      <c r="J226" s="84"/>
    </row>
  </sheetData>
  <mergeCells count="70">
    <mergeCell ref="A1:D1"/>
    <mergeCell ref="E1:F1"/>
    <mergeCell ref="A2:D2"/>
    <mergeCell ref="E2:F2"/>
    <mergeCell ref="B4:C4"/>
    <mergeCell ref="A6:F6"/>
    <mergeCell ref="A7:G7"/>
    <mergeCell ref="B8:C8"/>
    <mergeCell ref="A10:F10"/>
    <mergeCell ref="A11:G11"/>
    <mergeCell ref="B12:C12"/>
    <mergeCell ref="A16:F16"/>
    <mergeCell ref="A17:G17"/>
    <mergeCell ref="B18:C18"/>
    <mergeCell ref="B19:C19"/>
    <mergeCell ref="B20:C20"/>
    <mergeCell ref="B30:C30"/>
    <mergeCell ref="B34:C34"/>
    <mergeCell ref="A37:F37"/>
    <mergeCell ref="B39:C39"/>
    <mergeCell ref="B40:C40"/>
    <mergeCell ref="B42:C42"/>
    <mergeCell ref="B45:C45"/>
    <mergeCell ref="B47:C47"/>
    <mergeCell ref="A51:F51"/>
    <mergeCell ref="B53:C53"/>
    <mergeCell ref="B54:C54"/>
    <mergeCell ref="B56:C56"/>
    <mergeCell ref="B60:C60"/>
    <mergeCell ref="B65:C65"/>
    <mergeCell ref="B67:C67"/>
    <mergeCell ref="B71:C71"/>
    <mergeCell ref="B76:C76"/>
    <mergeCell ref="A79:F79"/>
    <mergeCell ref="B81:C81"/>
    <mergeCell ref="A85:F85"/>
    <mergeCell ref="B87:C87"/>
    <mergeCell ref="A90:F90"/>
    <mergeCell ref="B92:C92"/>
    <mergeCell ref="B93:C93"/>
    <mergeCell ref="B121:C121"/>
    <mergeCell ref="A131:F131"/>
    <mergeCell ref="B133:C133"/>
    <mergeCell ref="A151:F151"/>
    <mergeCell ref="B153:C153"/>
    <mergeCell ref="A158:F158"/>
    <mergeCell ref="B160:C160"/>
    <mergeCell ref="B161:C161"/>
    <mergeCell ref="B162:C162"/>
    <mergeCell ref="B173:C173"/>
    <mergeCell ref="A177:F177"/>
    <mergeCell ref="B178:C178"/>
    <mergeCell ref="B179:C179"/>
    <mergeCell ref="B182:C182"/>
    <mergeCell ref="A184:F184"/>
    <mergeCell ref="B185:C185"/>
    <mergeCell ref="B186:C186"/>
    <mergeCell ref="B188:C188"/>
    <mergeCell ref="B192:C192"/>
    <mergeCell ref="B195:C195"/>
    <mergeCell ref="B198:C198"/>
    <mergeCell ref="B200:C200"/>
    <mergeCell ref="A203:F203"/>
    <mergeCell ref="B204:C204"/>
    <mergeCell ref="A213:F213"/>
    <mergeCell ref="B215:C215"/>
    <mergeCell ref="A222:F222"/>
    <mergeCell ref="A224:F224"/>
    <mergeCell ref="A225:F225"/>
    <mergeCell ref="A226:F226"/>
  </mergeCell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303"/>
  <sheetViews>
    <sheetView topLeftCell="A10" zoomScale="70" zoomScaleNormal="70" workbookViewId="0">
      <selection activeCell="I898" sqref="I1:R1048576"/>
    </sheetView>
  </sheetViews>
  <sheetFormatPr defaultRowHeight="15"/>
  <cols>
    <col min="1" max="1" width="14.140625"/>
    <col min="2" max="2" width="14.85546875"/>
    <col min="3" max="3" width="14.140625"/>
    <col min="4" max="4" width="68.42578125"/>
    <col min="5" max="5" width="13.28515625"/>
    <col min="6" max="8" width="14.140625"/>
    <col min="9" max="9" width="0" style="286" hidden="1" customWidth="1"/>
    <col min="10" max="12" width="0" hidden="1" customWidth="1"/>
    <col min="13" max="13" width="67.42578125" hidden="1" customWidth="1"/>
    <col min="14" max="18" width="0" hidden="1" customWidth="1"/>
    <col min="19" max="1025" width="14.140625"/>
  </cols>
  <sheetData>
    <row r="1" spans="1:16" ht="15" customHeight="1">
      <c r="A1" s="319" t="s">
        <v>0</v>
      </c>
      <c r="B1" s="319"/>
      <c r="C1" s="319"/>
      <c r="D1" s="319"/>
      <c r="E1" s="319"/>
      <c r="F1" s="320" t="s">
        <v>1</v>
      </c>
      <c r="G1" s="320"/>
      <c r="H1" s="85" t="s">
        <v>2</v>
      </c>
      <c r="I1" s="285"/>
    </row>
    <row r="2" spans="1:16" ht="88.5" customHeight="1">
      <c r="A2" s="321" t="s">
        <v>414</v>
      </c>
      <c r="B2" s="321"/>
      <c r="C2" s="321"/>
      <c r="D2" s="321"/>
      <c r="E2" s="321"/>
      <c r="F2" s="320" t="s">
        <v>4</v>
      </c>
      <c r="G2" s="320"/>
      <c r="H2" s="87" t="s">
        <v>415</v>
      </c>
      <c r="I2" s="285"/>
      <c r="J2" s="86"/>
      <c r="K2" s="86"/>
      <c r="L2" s="86"/>
      <c r="M2" s="86"/>
      <c r="N2" s="86"/>
      <c r="O2" s="86"/>
      <c r="P2" s="86"/>
    </row>
    <row r="3" spans="1:16">
      <c r="A3" s="88"/>
      <c r="B3" s="89"/>
      <c r="C3" s="89"/>
      <c r="D3" s="89"/>
      <c r="E3" s="89"/>
      <c r="F3" s="90"/>
      <c r="G3" s="91"/>
      <c r="H3" s="91"/>
      <c r="I3" s="285"/>
    </row>
    <row r="4" spans="1:16">
      <c r="A4" s="92" t="s">
        <v>416</v>
      </c>
      <c r="B4" s="92"/>
      <c r="C4" s="92"/>
      <c r="D4" s="93" t="s">
        <v>12</v>
      </c>
      <c r="E4" s="94"/>
      <c r="F4" s="95"/>
      <c r="G4" s="92"/>
      <c r="H4" s="96"/>
      <c r="I4" s="285"/>
    </row>
    <row r="5" spans="1:16">
      <c r="A5" s="97" t="s">
        <v>417</v>
      </c>
      <c r="B5" s="97" t="s">
        <v>418</v>
      </c>
      <c r="C5" s="97" t="s">
        <v>419</v>
      </c>
      <c r="D5" s="98" t="s">
        <v>420</v>
      </c>
      <c r="E5" s="97" t="s">
        <v>421</v>
      </c>
      <c r="F5" s="99" t="s">
        <v>422</v>
      </c>
      <c r="G5" s="97" t="s">
        <v>423</v>
      </c>
      <c r="H5" s="97" t="s">
        <v>424</v>
      </c>
      <c r="I5" s="285"/>
    </row>
    <row r="6" spans="1:16" ht="28.5">
      <c r="A6" s="100" t="s">
        <v>425</v>
      </c>
      <c r="B6" s="100" t="s">
        <v>426</v>
      </c>
      <c r="C6" s="100" t="s">
        <v>427</v>
      </c>
      <c r="D6" s="101" t="s">
        <v>15</v>
      </c>
      <c r="E6" s="100" t="s">
        <v>16</v>
      </c>
      <c r="F6" s="102">
        <v>0.5</v>
      </c>
      <c r="G6" s="103">
        <v>0</v>
      </c>
      <c r="H6" s="103">
        <v>0</v>
      </c>
      <c r="I6" s="285"/>
    </row>
    <row r="7" spans="1:16">
      <c r="A7" s="104"/>
      <c r="B7" s="104"/>
      <c r="C7" s="104"/>
      <c r="D7" s="104"/>
      <c r="E7" s="104"/>
      <c r="F7" s="105"/>
      <c r="G7" s="106"/>
      <c r="H7" s="107"/>
      <c r="I7" s="285"/>
    </row>
    <row r="8" spans="1:16">
      <c r="A8" s="108"/>
      <c r="B8" s="108"/>
      <c r="C8" s="108"/>
      <c r="D8" s="108"/>
      <c r="E8" s="108"/>
      <c r="F8" s="109"/>
      <c r="G8" s="110"/>
      <c r="H8" s="110"/>
      <c r="I8" s="285"/>
    </row>
    <row r="9" spans="1:16">
      <c r="A9" s="92" t="s">
        <v>428</v>
      </c>
      <c r="B9" s="92"/>
      <c r="C9" s="92"/>
      <c r="D9" s="93" t="s">
        <v>18</v>
      </c>
      <c r="E9" s="94"/>
      <c r="F9" s="95"/>
      <c r="G9" s="92"/>
      <c r="H9" s="96"/>
      <c r="I9" s="285"/>
    </row>
    <row r="10" spans="1:16">
      <c r="A10" s="97" t="s">
        <v>429</v>
      </c>
      <c r="B10" s="97" t="s">
        <v>418</v>
      </c>
      <c r="C10" s="97" t="s">
        <v>419</v>
      </c>
      <c r="D10" s="98" t="s">
        <v>420</v>
      </c>
      <c r="E10" s="97" t="s">
        <v>421</v>
      </c>
      <c r="F10" s="99" t="s">
        <v>422</v>
      </c>
      <c r="G10" s="97" t="s">
        <v>423</v>
      </c>
      <c r="H10" s="97" t="s">
        <v>424</v>
      </c>
      <c r="I10" s="285"/>
    </row>
    <row r="11" spans="1:16" ht="28.5">
      <c r="A11" s="100" t="s">
        <v>425</v>
      </c>
      <c r="B11" s="100" t="s">
        <v>430</v>
      </c>
      <c r="C11" s="100" t="s">
        <v>431</v>
      </c>
      <c r="D11" s="101" t="s">
        <v>432</v>
      </c>
      <c r="E11" s="100" t="s">
        <v>433</v>
      </c>
      <c r="F11" s="102">
        <v>1</v>
      </c>
      <c r="G11" s="103">
        <v>6238.91</v>
      </c>
      <c r="H11" s="103">
        <v>6238.91</v>
      </c>
      <c r="I11" s="285">
        <f>SUM(I12:I17)</f>
        <v>6238.9100000000008</v>
      </c>
    </row>
    <row r="12" spans="1:16" ht="28.5">
      <c r="A12" s="111" t="s">
        <v>434</v>
      </c>
      <c r="B12" s="111" t="s">
        <v>435</v>
      </c>
      <c r="C12" s="111" t="s">
        <v>431</v>
      </c>
      <c r="D12" s="112" t="s">
        <v>436</v>
      </c>
      <c r="E12" s="111" t="s">
        <v>433</v>
      </c>
      <c r="F12" s="113">
        <v>1</v>
      </c>
      <c r="G12" s="114">
        <v>75.680000000000007</v>
      </c>
      <c r="H12" s="114">
        <v>75.680000000000007</v>
      </c>
      <c r="I12" s="285">
        <f>F12*G12</f>
        <v>75.680000000000007</v>
      </c>
    </row>
    <row r="13" spans="1:16">
      <c r="A13" s="115" t="s">
        <v>437</v>
      </c>
      <c r="B13" s="115" t="s">
        <v>438</v>
      </c>
      <c r="C13" s="115" t="s">
        <v>431</v>
      </c>
      <c r="D13" s="116" t="s">
        <v>439</v>
      </c>
      <c r="E13" s="115" t="s">
        <v>433</v>
      </c>
      <c r="F13" s="117">
        <v>1</v>
      </c>
      <c r="G13" s="118">
        <v>5777.56</v>
      </c>
      <c r="H13" s="118">
        <v>5777.56</v>
      </c>
      <c r="I13" s="285">
        <f t="shared" ref="I13:I17" si="0">F13*G13</f>
        <v>5777.56</v>
      </c>
    </row>
    <row r="14" spans="1:16" ht="28.5">
      <c r="A14" s="115" t="s">
        <v>437</v>
      </c>
      <c r="B14" s="115" t="s">
        <v>440</v>
      </c>
      <c r="C14" s="115" t="s">
        <v>431</v>
      </c>
      <c r="D14" s="116" t="s">
        <v>441</v>
      </c>
      <c r="E14" s="115" t="s">
        <v>433</v>
      </c>
      <c r="F14" s="117">
        <v>1</v>
      </c>
      <c r="G14" s="118">
        <v>202.94</v>
      </c>
      <c r="H14" s="118">
        <v>202.94</v>
      </c>
      <c r="I14" s="285">
        <f t="shared" si="0"/>
        <v>202.94</v>
      </c>
    </row>
    <row r="15" spans="1:16">
      <c r="A15" s="115" t="s">
        <v>437</v>
      </c>
      <c r="B15" s="115" t="s">
        <v>442</v>
      </c>
      <c r="C15" s="115" t="s">
        <v>431</v>
      </c>
      <c r="D15" s="116" t="s">
        <v>443</v>
      </c>
      <c r="E15" s="115" t="s">
        <v>433</v>
      </c>
      <c r="F15" s="117">
        <v>1</v>
      </c>
      <c r="G15" s="118">
        <v>152.35</v>
      </c>
      <c r="H15" s="118">
        <v>152.35</v>
      </c>
      <c r="I15" s="285">
        <f t="shared" si="0"/>
        <v>152.35</v>
      </c>
    </row>
    <row r="16" spans="1:16" ht="28.5">
      <c r="A16" s="115" t="s">
        <v>437</v>
      </c>
      <c r="B16" s="115" t="s">
        <v>444</v>
      </c>
      <c r="C16" s="115" t="s">
        <v>431</v>
      </c>
      <c r="D16" s="116" t="s">
        <v>445</v>
      </c>
      <c r="E16" s="115" t="s">
        <v>433</v>
      </c>
      <c r="F16" s="117">
        <v>1</v>
      </c>
      <c r="G16" s="118">
        <v>18.579999999999998</v>
      </c>
      <c r="H16" s="118">
        <v>18.579999999999998</v>
      </c>
      <c r="I16" s="285">
        <f t="shared" si="0"/>
        <v>18.579999999999998</v>
      </c>
    </row>
    <row r="17" spans="1:18">
      <c r="A17" s="115" t="s">
        <v>437</v>
      </c>
      <c r="B17" s="115" t="s">
        <v>446</v>
      </c>
      <c r="C17" s="115" t="s">
        <v>431</v>
      </c>
      <c r="D17" s="116" t="s">
        <v>447</v>
      </c>
      <c r="E17" s="115" t="s">
        <v>433</v>
      </c>
      <c r="F17" s="117">
        <v>1</v>
      </c>
      <c r="G17" s="118">
        <v>11.8</v>
      </c>
      <c r="H17" s="118">
        <v>11.8</v>
      </c>
      <c r="I17" s="285">
        <f t="shared" si="0"/>
        <v>11.8</v>
      </c>
    </row>
    <row r="18" spans="1:18">
      <c r="A18" s="104"/>
      <c r="B18" s="104"/>
      <c r="C18" s="104"/>
      <c r="D18" s="104"/>
      <c r="E18" s="104"/>
      <c r="F18" s="105"/>
      <c r="G18" s="106"/>
      <c r="H18" s="107"/>
      <c r="I18" s="285"/>
    </row>
    <row r="19" spans="1:18">
      <c r="A19" s="108"/>
      <c r="B19" s="108"/>
      <c r="C19" s="108"/>
      <c r="D19" s="108"/>
      <c r="E19" s="108"/>
      <c r="F19" s="109"/>
      <c r="G19" s="110"/>
      <c r="H19" s="110"/>
      <c r="I19" s="285"/>
    </row>
    <row r="20" spans="1:18">
      <c r="A20" s="92" t="s">
        <v>448</v>
      </c>
      <c r="B20" s="92"/>
      <c r="C20" s="92"/>
      <c r="D20" s="93" t="s">
        <v>23</v>
      </c>
      <c r="E20" s="94"/>
      <c r="F20" s="95"/>
      <c r="G20" s="92"/>
      <c r="H20" s="96"/>
      <c r="I20" s="285"/>
    </row>
    <row r="21" spans="1:18">
      <c r="A21" s="97" t="s">
        <v>449</v>
      </c>
      <c r="B21" s="97" t="s">
        <v>418</v>
      </c>
      <c r="C21" s="97" t="s">
        <v>419</v>
      </c>
      <c r="D21" s="98" t="s">
        <v>420</v>
      </c>
      <c r="E21" s="97" t="s">
        <v>421</v>
      </c>
      <c r="F21" s="99" t="s">
        <v>422</v>
      </c>
      <c r="G21" s="97" t="s">
        <v>423</v>
      </c>
      <c r="H21" s="97" t="s">
        <v>424</v>
      </c>
      <c r="I21" s="285"/>
    </row>
    <row r="22" spans="1:18" ht="85.5">
      <c r="A22" s="100" t="s">
        <v>425</v>
      </c>
      <c r="B22" s="100" t="s">
        <v>450</v>
      </c>
      <c r="C22" s="100" t="s">
        <v>427</v>
      </c>
      <c r="D22" s="101" t="s">
        <v>26</v>
      </c>
      <c r="E22" s="100" t="s">
        <v>451</v>
      </c>
      <c r="F22" s="102">
        <v>1</v>
      </c>
      <c r="G22" s="119" t="s">
        <v>452</v>
      </c>
      <c r="H22" s="119" t="s">
        <v>452</v>
      </c>
      <c r="I22" s="285">
        <f>SUM(I23:I24)</f>
        <v>204.75</v>
      </c>
    </row>
    <row r="23" spans="1:18" ht="57">
      <c r="A23" s="115" t="s">
        <v>437</v>
      </c>
      <c r="B23" s="115" t="s">
        <v>453</v>
      </c>
      <c r="C23" s="115" t="s">
        <v>427</v>
      </c>
      <c r="D23" s="116" t="s">
        <v>454</v>
      </c>
      <c r="E23" s="115" t="s">
        <v>451</v>
      </c>
      <c r="F23" s="117">
        <v>1</v>
      </c>
      <c r="G23" s="120" t="s">
        <v>455</v>
      </c>
      <c r="H23" s="120">
        <v>173.78</v>
      </c>
      <c r="I23" s="285">
        <f>F23*G23</f>
        <v>173.78</v>
      </c>
    </row>
    <row r="24" spans="1:18" ht="71.25">
      <c r="A24" s="115" t="s">
        <v>437</v>
      </c>
      <c r="B24" s="115" t="s">
        <v>456</v>
      </c>
      <c r="C24" s="115" t="s">
        <v>427</v>
      </c>
      <c r="D24" s="116" t="s">
        <v>457</v>
      </c>
      <c r="E24" s="115" t="s">
        <v>451</v>
      </c>
      <c r="F24" s="117">
        <v>1</v>
      </c>
      <c r="G24" s="120" t="s">
        <v>458</v>
      </c>
      <c r="H24" s="120">
        <v>30.97</v>
      </c>
      <c r="I24" s="285">
        <f>F24*G24</f>
        <v>30.97</v>
      </c>
    </row>
    <row r="25" spans="1:18">
      <c r="A25" s="104"/>
      <c r="B25" s="104"/>
      <c r="C25" s="104"/>
      <c r="D25" s="104"/>
      <c r="E25" s="104"/>
      <c r="F25" s="105"/>
      <c r="G25" s="106"/>
      <c r="H25" s="107"/>
      <c r="I25" s="285"/>
    </row>
    <row r="26" spans="1:18">
      <c r="A26" s="108"/>
      <c r="B26" s="108"/>
      <c r="C26" s="108"/>
      <c r="D26" s="108"/>
      <c r="E26" s="108"/>
      <c r="F26" s="109"/>
      <c r="G26" s="110"/>
      <c r="H26" s="110"/>
      <c r="I26" s="285"/>
    </row>
    <row r="27" spans="1:18">
      <c r="A27" s="97" t="s">
        <v>459</v>
      </c>
      <c r="B27" s="97" t="s">
        <v>418</v>
      </c>
      <c r="C27" s="97" t="s">
        <v>419</v>
      </c>
      <c r="D27" s="98" t="s">
        <v>420</v>
      </c>
      <c r="E27" s="97" t="s">
        <v>421</v>
      </c>
      <c r="F27" s="99" t="s">
        <v>422</v>
      </c>
      <c r="G27" s="97" t="s">
        <v>423</v>
      </c>
      <c r="H27" s="97" t="s">
        <v>424</v>
      </c>
      <c r="I27" s="285"/>
      <c r="J27" s="97" t="s">
        <v>459</v>
      </c>
      <c r="K27" s="97" t="s">
        <v>418</v>
      </c>
      <c r="L27" s="97" t="s">
        <v>419</v>
      </c>
      <c r="M27" s="98" t="s">
        <v>420</v>
      </c>
      <c r="N27" s="97" t="s">
        <v>421</v>
      </c>
      <c r="O27" s="99" t="s">
        <v>422</v>
      </c>
      <c r="P27" s="97" t="s">
        <v>423</v>
      </c>
      <c r="Q27" s="97" t="s">
        <v>424</v>
      </c>
    </row>
    <row r="28" spans="1:18">
      <c r="A28" s="100" t="s">
        <v>425</v>
      </c>
      <c r="B28" s="100" t="s">
        <v>460</v>
      </c>
      <c r="C28" s="100" t="s">
        <v>427</v>
      </c>
      <c r="D28" s="101" t="s">
        <v>30</v>
      </c>
      <c r="E28" s="100" t="s">
        <v>31</v>
      </c>
      <c r="F28" s="102">
        <v>1</v>
      </c>
      <c r="G28" s="119">
        <v>15</v>
      </c>
      <c r="H28" s="119">
        <v>15</v>
      </c>
      <c r="I28" s="285">
        <f>SUM(I29:I34)</f>
        <v>15.033860000000001</v>
      </c>
      <c r="J28" s="100" t="s">
        <v>425</v>
      </c>
      <c r="K28" s="100" t="s">
        <v>460</v>
      </c>
      <c r="L28" s="100" t="s">
        <v>427</v>
      </c>
      <c r="M28" s="101" t="s">
        <v>30</v>
      </c>
      <c r="N28" s="100" t="s">
        <v>31</v>
      </c>
      <c r="O28" s="102">
        <v>1</v>
      </c>
      <c r="P28" s="119" t="s">
        <v>461</v>
      </c>
      <c r="Q28" s="119" t="s">
        <v>461</v>
      </c>
      <c r="R28" s="285">
        <f>SUM(R29:R34)</f>
        <v>18.577000000000002</v>
      </c>
    </row>
    <row r="29" spans="1:18" ht="28.5">
      <c r="A29" s="111" t="s">
        <v>434</v>
      </c>
      <c r="B29" s="111" t="s">
        <v>462</v>
      </c>
      <c r="C29" s="111" t="s">
        <v>427</v>
      </c>
      <c r="D29" s="112" t="s">
        <v>463</v>
      </c>
      <c r="E29" s="111" t="s">
        <v>1576</v>
      </c>
      <c r="F29" s="113">
        <v>0.04</v>
      </c>
      <c r="G29" s="121">
        <v>19.03</v>
      </c>
      <c r="H29" s="121">
        <v>0.76</v>
      </c>
      <c r="I29" s="285">
        <f>F29*G29</f>
        <v>0.7612000000000001</v>
      </c>
      <c r="J29" s="111" t="s">
        <v>434</v>
      </c>
      <c r="K29" s="111" t="s">
        <v>462</v>
      </c>
      <c r="L29" s="111" t="s">
        <v>427</v>
      </c>
      <c r="M29" s="112" t="s">
        <v>463</v>
      </c>
      <c r="N29" s="111" t="s">
        <v>464</v>
      </c>
      <c r="O29" s="113">
        <v>0.04</v>
      </c>
      <c r="P29" s="121" t="s">
        <v>465</v>
      </c>
      <c r="Q29" s="121">
        <v>0.76</v>
      </c>
      <c r="R29" s="285">
        <f>O29*P29</f>
        <v>0.7612000000000001</v>
      </c>
    </row>
    <row r="30" spans="1:18" ht="28.5">
      <c r="A30" s="111" t="s">
        <v>434</v>
      </c>
      <c r="B30" s="111" t="s">
        <v>466</v>
      </c>
      <c r="C30" s="111" t="s">
        <v>427</v>
      </c>
      <c r="D30" s="112" t="s">
        <v>467</v>
      </c>
      <c r="E30" s="111" t="s">
        <v>468</v>
      </c>
      <c r="F30" s="113">
        <v>4.0000000000000001E-3</v>
      </c>
      <c r="G30" s="121">
        <v>325.92</v>
      </c>
      <c r="H30" s="121">
        <v>1.3</v>
      </c>
      <c r="I30" s="285">
        <f t="shared" ref="I30:I34" si="1">F30*G30</f>
        <v>1.3036800000000002</v>
      </c>
      <c r="J30" s="111" t="s">
        <v>434</v>
      </c>
      <c r="K30" s="111" t="s">
        <v>466</v>
      </c>
      <c r="L30" s="111" t="s">
        <v>427</v>
      </c>
      <c r="M30" s="112" t="s">
        <v>467</v>
      </c>
      <c r="N30" s="111" t="s">
        <v>468</v>
      </c>
      <c r="O30" s="113">
        <v>4.0000000000000001E-3</v>
      </c>
      <c r="P30" s="121" t="s">
        <v>469</v>
      </c>
      <c r="Q30" s="121">
        <v>1.3</v>
      </c>
      <c r="R30" s="285">
        <f t="shared" ref="R30:R34" si="2">O30*P30</f>
        <v>1.3036800000000002</v>
      </c>
    </row>
    <row r="31" spans="1:18" ht="42.75">
      <c r="A31" s="274" t="s">
        <v>437</v>
      </c>
      <c r="B31" s="274" t="s">
        <v>474</v>
      </c>
      <c r="C31" s="274" t="s">
        <v>427</v>
      </c>
      <c r="D31" s="275" t="s">
        <v>475</v>
      </c>
      <c r="E31" s="274" t="s">
        <v>476</v>
      </c>
      <c r="F31" s="276">
        <v>2.4E-2</v>
      </c>
      <c r="G31" s="277">
        <v>11.22</v>
      </c>
      <c r="H31" s="277">
        <v>0.26</v>
      </c>
      <c r="I31" s="285">
        <f t="shared" si="1"/>
        <v>0.26928000000000002</v>
      </c>
      <c r="J31" s="271" t="s">
        <v>437</v>
      </c>
      <c r="K31" s="271" t="s">
        <v>470</v>
      </c>
      <c r="L31" s="271" t="s">
        <v>427</v>
      </c>
      <c r="M31" s="272" t="s">
        <v>471</v>
      </c>
      <c r="N31" s="271" t="s">
        <v>472</v>
      </c>
      <c r="O31" s="273">
        <v>1.25</v>
      </c>
      <c r="P31" s="270">
        <v>11.22</v>
      </c>
      <c r="Q31" s="270">
        <v>0.26</v>
      </c>
      <c r="R31" s="285">
        <f t="shared" si="2"/>
        <v>14.025</v>
      </c>
    </row>
    <row r="32" spans="1:18" ht="42.75">
      <c r="A32" s="274" t="s">
        <v>437</v>
      </c>
      <c r="B32" s="274" t="s">
        <v>470</v>
      </c>
      <c r="C32" s="274" t="s">
        <v>427</v>
      </c>
      <c r="D32" s="275" t="s">
        <v>471</v>
      </c>
      <c r="E32" s="274" t="s">
        <v>472</v>
      </c>
      <c r="F32" s="276">
        <v>1.25</v>
      </c>
      <c r="G32" s="277">
        <v>8.33</v>
      </c>
      <c r="H32" s="277">
        <v>10.41</v>
      </c>
      <c r="I32" s="285">
        <f t="shared" si="1"/>
        <v>10.4125</v>
      </c>
      <c r="J32" s="271" t="s">
        <v>437</v>
      </c>
      <c r="K32" s="271" t="s">
        <v>474</v>
      </c>
      <c r="L32" s="271" t="s">
        <v>427</v>
      </c>
      <c r="M32" s="272" t="s">
        <v>475</v>
      </c>
      <c r="N32" s="271" t="s">
        <v>476</v>
      </c>
      <c r="O32" s="273">
        <v>2.4E-2</v>
      </c>
      <c r="P32" s="270">
        <v>8.33</v>
      </c>
      <c r="Q32" s="270">
        <v>10.41</v>
      </c>
      <c r="R32" s="285">
        <f t="shared" si="2"/>
        <v>0.19992000000000001</v>
      </c>
    </row>
    <row r="33" spans="1:18" ht="28.5">
      <c r="A33" s="115" t="s">
        <v>437</v>
      </c>
      <c r="B33" s="115" t="s">
        <v>478</v>
      </c>
      <c r="C33" s="115" t="s">
        <v>427</v>
      </c>
      <c r="D33" s="116" t="s">
        <v>479</v>
      </c>
      <c r="E33" s="115" t="s">
        <v>472</v>
      </c>
      <c r="F33" s="117">
        <v>1.05</v>
      </c>
      <c r="G33" s="120">
        <v>1.56</v>
      </c>
      <c r="H33" s="120">
        <v>1.63</v>
      </c>
      <c r="I33" s="285">
        <f t="shared" si="1"/>
        <v>1.6380000000000001</v>
      </c>
      <c r="J33" s="115" t="s">
        <v>437</v>
      </c>
      <c r="K33" s="115" t="s">
        <v>478</v>
      </c>
      <c r="L33" s="115" t="s">
        <v>427</v>
      </c>
      <c r="M33" s="116" t="s">
        <v>479</v>
      </c>
      <c r="N33" s="115" t="s">
        <v>472</v>
      </c>
      <c r="O33" s="117">
        <v>1.05</v>
      </c>
      <c r="P33" s="120" t="s">
        <v>480</v>
      </c>
      <c r="Q33" s="120">
        <v>1.63</v>
      </c>
      <c r="R33" s="285">
        <f t="shared" si="2"/>
        <v>1.6380000000000001</v>
      </c>
    </row>
    <row r="34" spans="1:18" ht="31.5" customHeight="1">
      <c r="A34" s="115" t="s">
        <v>437</v>
      </c>
      <c r="B34" s="115" t="s">
        <v>481</v>
      </c>
      <c r="C34" s="115" t="s">
        <v>427</v>
      </c>
      <c r="D34" s="116" t="s">
        <v>482</v>
      </c>
      <c r="E34" s="115" t="s">
        <v>451</v>
      </c>
      <c r="F34" s="117">
        <v>0.02</v>
      </c>
      <c r="G34" s="120">
        <v>32.46</v>
      </c>
      <c r="H34" s="120">
        <v>0.64</v>
      </c>
      <c r="I34" s="285">
        <f t="shared" si="1"/>
        <v>0.6492</v>
      </c>
      <c r="J34" s="115" t="s">
        <v>437</v>
      </c>
      <c r="K34" s="115" t="s">
        <v>481</v>
      </c>
      <c r="L34" s="115" t="s">
        <v>427</v>
      </c>
      <c r="M34" s="116" t="s">
        <v>482</v>
      </c>
      <c r="N34" s="115" t="s">
        <v>451</v>
      </c>
      <c r="O34" s="117">
        <v>0.02</v>
      </c>
      <c r="P34" s="120" t="s">
        <v>483</v>
      </c>
      <c r="Q34" s="120">
        <v>0.64</v>
      </c>
      <c r="R34" s="285">
        <f t="shared" si="2"/>
        <v>0.6492</v>
      </c>
    </row>
    <row r="35" spans="1:18">
      <c r="A35" s="104"/>
      <c r="B35" s="104"/>
      <c r="C35" s="104"/>
      <c r="D35" s="104"/>
      <c r="E35" s="104"/>
      <c r="F35" s="105"/>
      <c r="G35" s="106"/>
      <c r="H35" s="107"/>
      <c r="I35" s="285"/>
    </row>
    <row r="36" spans="1:18">
      <c r="A36" s="108"/>
      <c r="B36" s="108"/>
      <c r="C36" s="108"/>
      <c r="D36" s="108"/>
      <c r="E36" s="108"/>
      <c r="F36" s="109"/>
      <c r="G36" s="110"/>
      <c r="H36" s="110"/>
      <c r="I36" s="285"/>
    </row>
    <row r="37" spans="1:18">
      <c r="A37" s="97" t="s">
        <v>484</v>
      </c>
      <c r="B37" s="97" t="s">
        <v>418</v>
      </c>
      <c r="C37" s="97" t="s">
        <v>419</v>
      </c>
      <c r="D37" s="98" t="s">
        <v>420</v>
      </c>
      <c r="E37" s="97" t="s">
        <v>421</v>
      </c>
      <c r="F37" s="99" t="s">
        <v>422</v>
      </c>
      <c r="G37" s="97" t="s">
        <v>423</v>
      </c>
      <c r="H37" s="97" t="s">
        <v>424</v>
      </c>
      <c r="I37" s="285"/>
    </row>
    <row r="38" spans="1:18" ht="28.5">
      <c r="A38" s="100" t="s">
        <v>425</v>
      </c>
      <c r="B38" s="100" t="s">
        <v>485</v>
      </c>
      <c r="C38" s="100" t="s">
        <v>427</v>
      </c>
      <c r="D38" s="101" t="s">
        <v>34</v>
      </c>
      <c r="E38" s="100" t="s">
        <v>451</v>
      </c>
      <c r="F38" s="102">
        <v>1</v>
      </c>
      <c r="G38" s="119">
        <v>8.3800000000000008</v>
      </c>
      <c r="H38" s="119">
        <v>8.3800000000000008</v>
      </c>
      <c r="I38" s="285">
        <f>SUM(I39:I44)</f>
        <v>8.4152999999999984</v>
      </c>
      <c r="J38" s="100" t="s">
        <v>425</v>
      </c>
      <c r="K38" s="100" t="s">
        <v>485</v>
      </c>
      <c r="L38" s="100" t="s">
        <v>427</v>
      </c>
      <c r="M38" s="101" t="s">
        <v>34</v>
      </c>
      <c r="N38" s="100" t="s">
        <v>451</v>
      </c>
      <c r="O38" s="102">
        <v>1</v>
      </c>
      <c r="P38" s="119" t="s">
        <v>486</v>
      </c>
      <c r="Q38" s="119" t="s">
        <v>486</v>
      </c>
      <c r="R38" s="285">
        <f>SUM(R39:R44)</f>
        <v>7.6358999999999995</v>
      </c>
    </row>
    <row r="39" spans="1:18" ht="28.5">
      <c r="A39" s="111" t="s">
        <v>434</v>
      </c>
      <c r="B39" s="111" t="s">
        <v>487</v>
      </c>
      <c r="C39" s="111" t="s">
        <v>427</v>
      </c>
      <c r="D39" s="112" t="s">
        <v>488</v>
      </c>
      <c r="E39" s="111" t="s">
        <v>1576</v>
      </c>
      <c r="F39" s="113">
        <v>7.0000000000000007E-2</v>
      </c>
      <c r="G39" s="121">
        <v>22.84</v>
      </c>
      <c r="H39" s="121">
        <v>1.59</v>
      </c>
      <c r="I39" s="285">
        <f>F39*G39</f>
        <v>1.5988000000000002</v>
      </c>
      <c r="J39" s="111" t="s">
        <v>434</v>
      </c>
      <c r="K39" s="111" t="s">
        <v>487</v>
      </c>
      <c r="L39" s="111" t="s">
        <v>427</v>
      </c>
      <c r="M39" s="112" t="s">
        <v>488</v>
      </c>
      <c r="N39" s="111" t="s">
        <v>464</v>
      </c>
      <c r="O39" s="113">
        <v>7.0000000000000007E-2</v>
      </c>
      <c r="P39" s="121" t="s">
        <v>489</v>
      </c>
      <c r="Q39" s="121" t="s">
        <v>490</v>
      </c>
      <c r="R39" s="285">
        <f>O39*P39</f>
        <v>1.5988000000000002</v>
      </c>
    </row>
    <row r="40" spans="1:18" ht="28.5">
      <c r="A40" s="111" t="s">
        <v>434</v>
      </c>
      <c r="B40" s="111" t="s">
        <v>491</v>
      </c>
      <c r="C40" s="111" t="s">
        <v>427</v>
      </c>
      <c r="D40" s="112" t="s">
        <v>492</v>
      </c>
      <c r="E40" s="111" t="s">
        <v>1576</v>
      </c>
      <c r="F40" s="113">
        <v>7.0000000000000007E-2</v>
      </c>
      <c r="G40" s="121">
        <v>16.809999999999999</v>
      </c>
      <c r="H40" s="121">
        <v>1.17</v>
      </c>
      <c r="I40" s="285">
        <f t="shared" ref="I40:I44" si="3">F40*G40</f>
        <v>1.1767000000000001</v>
      </c>
      <c r="J40" s="111" t="s">
        <v>434</v>
      </c>
      <c r="K40" s="111" t="s">
        <v>491</v>
      </c>
      <c r="L40" s="111" t="s">
        <v>427</v>
      </c>
      <c r="M40" s="112" t="s">
        <v>492</v>
      </c>
      <c r="N40" s="111" t="s">
        <v>464</v>
      </c>
      <c r="O40" s="113">
        <v>7.0000000000000007E-2</v>
      </c>
      <c r="P40" s="121" t="s">
        <v>493</v>
      </c>
      <c r="Q40" s="121" t="s">
        <v>494</v>
      </c>
      <c r="R40" s="285">
        <f t="shared" ref="R40:R44" si="4">O40*P40</f>
        <v>1.1767000000000001</v>
      </c>
    </row>
    <row r="41" spans="1:18" ht="28.5">
      <c r="A41" s="274" t="s">
        <v>437</v>
      </c>
      <c r="B41" s="274" t="s">
        <v>500</v>
      </c>
      <c r="C41" s="274" t="s">
        <v>427</v>
      </c>
      <c r="D41" s="275" t="s">
        <v>501</v>
      </c>
      <c r="E41" s="278" t="s">
        <v>476</v>
      </c>
      <c r="F41" s="279">
        <v>0.02</v>
      </c>
      <c r="G41" s="280">
        <v>11.28</v>
      </c>
      <c r="H41" s="280">
        <v>0.22</v>
      </c>
      <c r="I41" s="285">
        <f t="shared" si="3"/>
        <v>0.22559999999999999</v>
      </c>
      <c r="J41" s="271" t="s">
        <v>437</v>
      </c>
      <c r="K41" s="271" t="s">
        <v>495</v>
      </c>
      <c r="L41" s="271" t="s">
        <v>427</v>
      </c>
      <c r="M41" s="272" t="s">
        <v>496</v>
      </c>
      <c r="N41" s="278" t="s">
        <v>476</v>
      </c>
      <c r="O41" s="279">
        <v>0.02</v>
      </c>
      <c r="P41" s="280" t="s">
        <v>497</v>
      </c>
      <c r="Q41" s="280" t="s">
        <v>498</v>
      </c>
      <c r="R41" s="285">
        <f t="shared" si="4"/>
        <v>0.22559999999999999</v>
      </c>
    </row>
    <row r="42" spans="1:18" ht="42.75">
      <c r="A42" s="115" t="s">
        <v>437</v>
      </c>
      <c r="B42" s="115" t="s">
        <v>470</v>
      </c>
      <c r="C42" s="115" t="s">
        <v>427</v>
      </c>
      <c r="D42" s="116" t="s">
        <v>471</v>
      </c>
      <c r="E42" s="115" t="s">
        <v>472</v>
      </c>
      <c r="F42" s="117">
        <v>0.3</v>
      </c>
      <c r="G42" s="120">
        <v>8.33</v>
      </c>
      <c r="H42" s="120">
        <v>2.4900000000000002</v>
      </c>
      <c r="I42" s="285">
        <f t="shared" si="3"/>
        <v>2.4990000000000001</v>
      </c>
      <c r="J42" s="115" t="s">
        <v>437</v>
      </c>
      <c r="K42" s="115" t="s">
        <v>470</v>
      </c>
      <c r="L42" s="115" t="s">
        <v>427</v>
      </c>
      <c r="M42" s="116" t="s">
        <v>471</v>
      </c>
      <c r="N42" s="115" t="s">
        <v>472</v>
      </c>
      <c r="O42" s="117">
        <v>0.3</v>
      </c>
      <c r="P42" s="120" t="s">
        <v>477</v>
      </c>
      <c r="Q42" s="120" t="s">
        <v>499</v>
      </c>
      <c r="R42" s="285">
        <f t="shared" si="4"/>
        <v>2.4990000000000001</v>
      </c>
    </row>
    <row r="43" spans="1:18" ht="42.75">
      <c r="A43" s="274" t="s">
        <v>437</v>
      </c>
      <c r="B43" s="274" t="s">
        <v>504</v>
      </c>
      <c r="C43" s="274" t="s">
        <v>427</v>
      </c>
      <c r="D43" s="275" t="s">
        <v>505</v>
      </c>
      <c r="E43" s="278" t="s">
        <v>451</v>
      </c>
      <c r="F43" s="279">
        <v>0.08</v>
      </c>
      <c r="G43" s="280">
        <v>31.75</v>
      </c>
      <c r="H43" s="280">
        <v>2.54</v>
      </c>
      <c r="I43" s="285">
        <f t="shared" si="3"/>
        <v>2.54</v>
      </c>
      <c r="J43" s="271" t="s">
        <v>437</v>
      </c>
      <c r="K43" s="271" t="s">
        <v>500</v>
      </c>
      <c r="L43" s="271" t="s">
        <v>427</v>
      </c>
      <c r="M43" s="272" t="s">
        <v>501</v>
      </c>
      <c r="N43" s="278" t="s">
        <v>476</v>
      </c>
      <c r="O43" s="279">
        <v>0.02</v>
      </c>
      <c r="P43" s="280" t="s">
        <v>502</v>
      </c>
      <c r="Q43" s="280" t="s">
        <v>503</v>
      </c>
      <c r="R43" s="285">
        <f t="shared" si="4"/>
        <v>0.63500000000000001</v>
      </c>
    </row>
    <row r="44" spans="1:18" ht="42.75">
      <c r="A44" s="274" t="s">
        <v>437</v>
      </c>
      <c r="B44" s="274" t="s">
        <v>495</v>
      </c>
      <c r="C44" s="274" t="s">
        <v>427</v>
      </c>
      <c r="D44" s="275" t="s">
        <v>496</v>
      </c>
      <c r="E44" s="278" t="s">
        <v>476</v>
      </c>
      <c r="F44" s="279">
        <v>0.02</v>
      </c>
      <c r="G44" s="280">
        <v>18.760000000000002</v>
      </c>
      <c r="H44" s="280">
        <v>0.37</v>
      </c>
      <c r="I44" s="285">
        <f t="shared" si="3"/>
        <v>0.37520000000000003</v>
      </c>
      <c r="J44" s="271" t="s">
        <v>437</v>
      </c>
      <c r="K44" s="271" t="s">
        <v>504</v>
      </c>
      <c r="L44" s="271" t="s">
        <v>427</v>
      </c>
      <c r="M44" s="272" t="s">
        <v>505</v>
      </c>
      <c r="N44" s="278" t="s">
        <v>451</v>
      </c>
      <c r="O44" s="279">
        <v>0.08</v>
      </c>
      <c r="P44" s="280" t="s">
        <v>506</v>
      </c>
      <c r="Q44" s="280" t="s">
        <v>507</v>
      </c>
      <c r="R44" s="285">
        <f t="shared" si="4"/>
        <v>1.5008000000000001</v>
      </c>
    </row>
    <row r="45" spans="1:18">
      <c r="A45" s="104"/>
      <c r="B45" s="104"/>
      <c r="C45" s="104"/>
      <c r="D45" s="104"/>
      <c r="E45" s="104"/>
      <c r="F45" s="105"/>
      <c r="G45" s="106"/>
      <c r="H45" s="107"/>
      <c r="I45" s="285"/>
    </row>
    <row r="46" spans="1:18">
      <c r="A46" s="108"/>
      <c r="B46" s="108"/>
      <c r="C46" s="108"/>
      <c r="D46" s="108"/>
      <c r="E46" s="108"/>
      <c r="F46" s="109"/>
      <c r="G46" s="110"/>
      <c r="H46" s="110"/>
      <c r="I46" s="285"/>
    </row>
    <row r="47" spans="1:18">
      <c r="A47" s="92" t="s">
        <v>508</v>
      </c>
      <c r="B47" s="92"/>
      <c r="C47" s="92"/>
      <c r="D47" s="93" t="s">
        <v>36</v>
      </c>
      <c r="E47" s="94"/>
      <c r="F47" s="95"/>
      <c r="G47" s="92"/>
      <c r="H47" s="96"/>
      <c r="I47" s="285"/>
    </row>
    <row r="48" spans="1:18">
      <c r="A48" s="92" t="s">
        <v>509</v>
      </c>
      <c r="B48" s="92"/>
      <c r="C48" s="92"/>
      <c r="D48" s="93" t="s">
        <v>38</v>
      </c>
      <c r="E48" s="94"/>
      <c r="F48" s="95"/>
      <c r="G48" s="92"/>
      <c r="H48" s="96"/>
      <c r="I48" s="285"/>
    </row>
    <row r="49" spans="1:16">
      <c r="A49" s="92" t="s">
        <v>510</v>
      </c>
      <c r="B49" s="92"/>
      <c r="C49" s="92"/>
      <c r="D49" s="93" t="s">
        <v>40</v>
      </c>
      <c r="E49" s="94"/>
      <c r="F49" s="95"/>
      <c r="G49" s="92"/>
      <c r="H49" s="96"/>
      <c r="I49" s="285"/>
    </row>
    <row r="50" spans="1:16">
      <c r="A50" s="97" t="s">
        <v>511</v>
      </c>
      <c r="B50" s="97" t="s">
        <v>418</v>
      </c>
      <c r="C50" s="97" t="s">
        <v>419</v>
      </c>
      <c r="D50" s="98" t="s">
        <v>420</v>
      </c>
      <c r="E50" s="97" t="s">
        <v>421</v>
      </c>
      <c r="F50" s="99" t="s">
        <v>422</v>
      </c>
      <c r="G50" s="97" t="s">
        <v>423</v>
      </c>
      <c r="H50" s="97" t="s">
        <v>424</v>
      </c>
      <c r="I50" s="285"/>
    </row>
    <row r="51" spans="1:16" ht="28.5">
      <c r="A51" s="100" t="s">
        <v>425</v>
      </c>
      <c r="B51" s="100" t="s">
        <v>512</v>
      </c>
      <c r="C51" s="100" t="s">
        <v>431</v>
      </c>
      <c r="D51" s="101" t="s">
        <v>42</v>
      </c>
      <c r="E51" s="100" t="s">
        <v>468</v>
      </c>
      <c r="F51" s="102">
        <v>1</v>
      </c>
      <c r="G51" s="103">
        <v>103.42</v>
      </c>
      <c r="H51" s="103">
        <v>103.42</v>
      </c>
      <c r="I51" s="285">
        <f>SUM(I52:I55)</f>
        <v>103.44852799999998</v>
      </c>
    </row>
    <row r="52" spans="1:16" ht="28.5">
      <c r="A52" s="111" t="s">
        <v>434</v>
      </c>
      <c r="B52" s="111" t="s">
        <v>513</v>
      </c>
      <c r="C52" s="111" t="s">
        <v>431</v>
      </c>
      <c r="D52" s="112" t="s">
        <v>514</v>
      </c>
      <c r="E52" s="111" t="s">
        <v>515</v>
      </c>
      <c r="F52" s="113">
        <v>1.5562</v>
      </c>
      <c r="G52" s="114">
        <v>22.06</v>
      </c>
      <c r="H52" s="114">
        <v>34.32</v>
      </c>
      <c r="I52" s="285">
        <f>F52*G52</f>
        <v>34.329771999999998</v>
      </c>
    </row>
    <row r="53" spans="1:16" ht="28.5">
      <c r="A53" s="111" t="s">
        <v>434</v>
      </c>
      <c r="B53" s="111" t="s">
        <v>516</v>
      </c>
      <c r="C53" s="111" t="s">
        <v>431</v>
      </c>
      <c r="D53" s="112" t="s">
        <v>517</v>
      </c>
      <c r="E53" s="111" t="s">
        <v>518</v>
      </c>
      <c r="F53" s="113">
        <v>0.44109999999999999</v>
      </c>
      <c r="G53" s="114">
        <v>20.56</v>
      </c>
      <c r="H53" s="114">
        <v>9.06</v>
      </c>
      <c r="I53" s="285">
        <f t="shared" ref="I53:I55" si="5">F53*G53</f>
        <v>9.0690159999999995</v>
      </c>
    </row>
    <row r="54" spans="1:16" ht="28.5">
      <c r="A54" s="111" t="s">
        <v>434</v>
      </c>
      <c r="B54" s="111" t="s">
        <v>519</v>
      </c>
      <c r="C54" s="111" t="s">
        <v>431</v>
      </c>
      <c r="D54" s="112" t="s">
        <v>492</v>
      </c>
      <c r="E54" s="111" t="s">
        <v>520</v>
      </c>
      <c r="F54" s="113">
        <v>3.153</v>
      </c>
      <c r="G54" s="114">
        <v>16.809999999999999</v>
      </c>
      <c r="H54" s="114">
        <v>53</v>
      </c>
      <c r="I54" s="285">
        <f t="shared" si="5"/>
        <v>53.001929999999994</v>
      </c>
    </row>
    <row r="55" spans="1:16" ht="28.5">
      <c r="A55" s="111" t="s">
        <v>434</v>
      </c>
      <c r="B55" s="111" t="s">
        <v>521</v>
      </c>
      <c r="C55" s="111" t="s">
        <v>431</v>
      </c>
      <c r="D55" s="112" t="s">
        <v>522</v>
      </c>
      <c r="E55" s="111" t="s">
        <v>520</v>
      </c>
      <c r="F55" s="113">
        <v>0.30509999999999998</v>
      </c>
      <c r="G55" s="114">
        <v>23.1</v>
      </c>
      <c r="H55" s="114">
        <v>7.04</v>
      </c>
      <c r="I55" s="285">
        <f t="shared" si="5"/>
        <v>7.0478100000000001</v>
      </c>
    </row>
    <row r="56" spans="1:16">
      <c r="A56" s="104"/>
      <c r="B56" s="104"/>
      <c r="C56" s="104"/>
      <c r="D56" s="104"/>
      <c r="E56" s="104"/>
      <c r="F56" s="105"/>
      <c r="G56" s="106"/>
      <c r="H56" s="107"/>
      <c r="I56" s="285"/>
    </row>
    <row r="57" spans="1:16">
      <c r="A57" s="108"/>
      <c r="B57" s="108"/>
      <c r="C57" s="108"/>
      <c r="D57" s="108"/>
      <c r="E57" s="108"/>
      <c r="F57" s="109"/>
      <c r="G57" s="110"/>
      <c r="H57" s="110"/>
      <c r="I57" s="285"/>
    </row>
    <row r="58" spans="1:16">
      <c r="A58" s="97" t="s">
        <v>523</v>
      </c>
      <c r="B58" s="97" t="s">
        <v>418</v>
      </c>
      <c r="C58" s="97" t="s">
        <v>419</v>
      </c>
      <c r="D58" s="98" t="s">
        <v>420</v>
      </c>
      <c r="E58" s="97" t="s">
        <v>421</v>
      </c>
      <c r="F58" s="99" t="s">
        <v>422</v>
      </c>
      <c r="G58" s="97" t="s">
        <v>423</v>
      </c>
      <c r="H58" s="97" t="s">
        <v>424</v>
      </c>
      <c r="I58" s="285"/>
    </row>
    <row r="59" spans="1:16" ht="28.5">
      <c r="A59" s="100" t="s">
        <v>425</v>
      </c>
      <c r="B59" s="100" t="s">
        <v>524</v>
      </c>
      <c r="C59" s="100" t="s">
        <v>431</v>
      </c>
      <c r="D59" s="101" t="s">
        <v>45</v>
      </c>
      <c r="E59" s="100" t="s">
        <v>468</v>
      </c>
      <c r="F59" s="102">
        <v>1</v>
      </c>
      <c r="G59" s="103">
        <v>66.5</v>
      </c>
      <c r="H59" s="103">
        <v>66.5</v>
      </c>
      <c r="I59" s="285">
        <f>SUM(I60)</f>
        <v>66.500360000000001</v>
      </c>
    </row>
    <row r="60" spans="1:16" ht="28.5">
      <c r="A60" s="111" t="s">
        <v>434</v>
      </c>
      <c r="B60" s="111" t="s">
        <v>519</v>
      </c>
      <c r="C60" s="111" t="s">
        <v>431</v>
      </c>
      <c r="D60" s="112" t="s">
        <v>492</v>
      </c>
      <c r="E60" s="111" t="s">
        <v>520</v>
      </c>
      <c r="F60" s="113">
        <v>3.956</v>
      </c>
      <c r="G60" s="114">
        <v>16.809999999999999</v>
      </c>
      <c r="H60" s="114">
        <v>66.5</v>
      </c>
      <c r="I60" s="285">
        <f>F60*G60</f>
        <v>66.500360000000001</v>
      </c>
    </row>
    <row r="61" spans="1:16">
      <c r="A61" s="104"/>
      <c r="B61" s="104"/>
      <c r="C61" s="104"/>
      <c r="D61" s="104"/>
      <c r="E61" s="104"/>
      <c r="F61" s="105"/>
      <c r="G61" s="106"/>
      <c r="H61" s="107"/>
      <c r="I61" s="285"/>
    </row>
    <row r="62" spans="1:16">
      <c r="A62" s="108"/>
      <c r="B62" s="108"/>
      <c r="C62" s="108"/>
      <c r="D62" s="108"/>
      <c r="E62" s="108"/>
      <c r="F62" s="109"/>
      <c r="G62" s="110"/>
      <c r="H62" s="110"/>
      <c r="I62" s="285"/>
    </row>
    <row r="63" spans="1:16">
      <c r="A63" s="97" t="s">
        <v>525</v>
      </c>
      <c r="B63" s="97" t="s">
        <v>418</v>
      </c>
      <c r="C63" s="97" t="s">
        <v>419</v>
      </c>
      <c r="D63" s="98" t="s">
        <v>420</v>
      </c>
      <c r="E63" s="97" t="s">
        <v>421</v>
      </c>
      <c r="F63" s="99" t="s">
        <v>422</v>
      </c>
      <c r="G63" s="97" t="s">
        <v>423</v>
      </c>
      <c r="H63" s="97" t="s">
        <v>424</v>
      </c>
      <c r="I63" s="285"/>
    </row>
    <row r="64" spans="1:16" ht="28.5">
      <c r="A64" s="100" t="s">
        <v>425</v>
      </c>
      <c r="B64" s="100" t="s">
        <v>526</v>
      </c>
      <c r="C64" s="100" t="s">
        <v>431</v>
      </c>
      <c r="D64" s="101" t="s">
        <v>47</v>
      </c>
      <c r="E64" s="100" t="s">
        <v>468</v>
      </c>
      <c r="F64" s="102">
        <v>1</v>
      </c>
      <c r="G64" s="103">
        <v>27.29</v>
      </c>
      <c r="H64" s="103">
        <v>27.29</v>
      </c>
      <c r="I64" s="285">
        <f>SUM(I65:I68)</f>
        <v>27.305459999999997</v>
      </c>
      <c r="J64" s="122"/>
      <c r="K64" s="122"/>
      <c r="L64" s="122"/>
      <c r="M64" s="122"/>
      <c r="N64" s="122"/>
      <c r="O64" s="122"/>
      <c r="P64" s="122"/>
    </row>
    <row r="65" spans="1:9" ht="42.75">
      <c r="A65" s="111" t="s">
        <v>434</v>
      </c>
      <c r="B65" s="111" t="s">
        <v>527</v>
      </c>
      <c r="C65" s="111" t="s">
        <v>431</v>
      </c>
      <c r="D65" s="112" t="s">
        <v>528</v>
      </c>
      <c r="E65" s="111" t="s">
        <v>518</v>
      </c>
      <c r="F65" s="113">
        <v>0.254</v>
      </c>
      <c r="G65" s="114">
        <v>23.25</v>
      </c>
      <c r="H65" s="114">
        <v>5.9</v>
      </c>
      <c r="I65" s="285">
        <f t="shared" ref="I65:I68" si="6">F65*G65</f>
        <v>5.9055</v>
      </c>
    </row>
    <row r="66" spans="1:9" ht="42.75">
      <c r="A66" s="111" t="s">
        <v>434</v>
      </c>
      <c r="B66" s="111" t="s">
        <v>529</v>
      </c>
      <c r="C66" s="111" t="s">
        <v>431</v>
      </c>
      <c r="D66" s="112" t="s">
        <v>530</v>
      </c>
      <c r="E66" s="111" t="s">
        <v>515</v>
      </c>
      <c r="F66" s="113">
        <v>0.27400000000000002</v>
      </c>
      <c r="G66" s="114">
        <v>31.29</v>
      </c>
      <c r="H66" s="114">
        <v>8.57</v>
      </c>
      <c r="I66" s="285">
        <f t="shared" si="6"/>
        <v>8.5734600000000007</v>
      </c>
    </row>
    <row r="67" spans="1:9" ht="28.5">
      <c r="A67" s="111" t="s">
        <v>434</v>
      </c>
      <c r="B67" s="111" t="s">
        <v>531</v>
      </c>
      <c r="C67" s="111" t="s">
        <v>431</v>
      </c>
      <c r="D67" s="112" t="s">
        <v>532</v>
      </c>
      <c r="E67" s="111" t="s">
        <v>468</v>
      </c>
      <c r="F67" s="113">
        <v>1</v>
      </c>
      <c r="G67" s="114">
        <v>1.9</v>
      </c>
      <c r="H67" s="114">
        <v>1.9</v>
      </c>
      <c r="I67" s="285">
        <f t="shared" si="6"/>
        <v>1.9</v>
      </c>
    </row>
    <row r="68" spans="1:9" ht="28.5">
      <c r="A68" s="111" t="s">
        <v>434</v>
      </c>
      <c r="B68" s="111" t="s">
        <v>519</v>
      </c>
      <c r="C68" s="111" t="s">
        <v>431</v>
      </c>
      <c r="D68" s="112" t="s">
        <v>492</v>
      </c>
      <c r="E68" s="111" t="s">
        <v>520</v>
      </c>
      <c r="F68" s="113">
        <v>0.65</v>
      </c>
      <c r="G68" s="114">
        <v>16.809999999999999</v>
      </c>
      <c r="H68" s="114">
        <v>10.92</v>
      </c>
      <c r="I68" s="285">
        <f t="shared" si="6"/>
        <v>10.926499999999999</v>
      </c>
    </row>
    <row r="69" spans="1:9">
      <c r="A69" s="104"/>
      <c r="B69" s="104"/>
      <c r="C69" s="104"/>
      <c r="D69" s="104"/>
      <c r="E69" s="104"/>
      <c r="F69" s="105"/>
      <c r="G69" s="106"/>
      <c r="H69" s="107"/>
      <c r="I69" s="285"/>
    </row>
    <row r="70" spans="1:9">
      <c r="A70" s="108"/>
      <c r="B70" s="108"/>
      <c r="C70" s="108"/>
      <c r="D70" s="108"/>
      <c r="E70" s="108"/>
      <c r="F70" s="109"/>
      <c r="G70" s="110"/>
      <c r="H70" s="110"/>
      <c r="I70" s="285"/>
    </row>
    <row r="71" spans="1:9">
      <c r="A71" s="97" t="s">
        <v>533</v>
      </c>
      <c r="B71" s="97" t="s">
        <v>418</v>
      </c>
      <c r="C71" s="97" t="s">
        <v>419</v>
      </c>
      <c r="D71" s="98" t="s">
        <v>420</v>
      </c>
      <c r="E71" s="97" t="s">
        <v>421</v>
      </c>
      <c r="F71" s="99" t="s">
        <v>422</v>
      </c>
      <c r="G71" s="97" t="s">
        <v>423</v>
      </c>
      <c r="H71" s="97" t="s">
        <v>424</v>
      </c>
      <c r="I71" s="285"/>
    </row>
    <row r="72" spans="1:9" ht="28.5">
      <c r="A72" s="100" t="s">
        <v>425</v>
      </c>
      <c r="B72" s="100" t="s">
        <v>534</v>
      </c>
      <c r="C72" s="100" t="s">
        <v>427</v>
      </c>
      <c r="D72" s="101" t="s">
        <v>50</v>
      </c>
      <c r="E72" s="100" t="s">
        <v>451</v>
      </c>
      <c r="F72" s="102">
        <v>1</v>
      </c>
      <c r="G72" s="119" t="s">
        <v>535</v>
      </c>
      <c r="H72" s="119" t="s">
        <v>535</v>
      </c>
      <c r="I72" s="285">
        <f>SUM(I73:I76)</f>
        <v>4.1310000000000002</v>
      </c>
    </row>
    <row r="73" spans="1:9" ht="28.5">
      <c r="A73" s="111" t="s">
        <v>434</v>
      </c>
      <c r="B73" s="111" t="s">
        <v>536</v>
      </c>
      <c r="C73" s="111" t="s">
        <v>427</v>
      </c>
      <c r="D73" s="112" t="s">
        <v>522</v>
      </c>
      <c r="E73" s="111" t="s">
        <v>464</v>
      </c>
      <c r="F73" s="113">
        <v>2.5999999999999999E-2</v>
      </c>
      <c r="G73" s="121" t="s">
        <v>537</v>
      </c>
      <c r="H73" s="121" t="s">
        <v>538</v>
      </c>
      <c r="I73" s="285">
        <f t="shared" ref="I73:I75" si="7">F73*G73</f>
        <v>0.60060000000000002</v>
      </c>
    </row>
    <row r="74" spans="1:9" ht="28.5">
      <c r="A74" s="111" t="s">
        <v>434</v>
      </c>
      <c r="B74" s="111" t="s">
        <v>491</v>
      </c>
      <c r="C74" s="111" t="s">
        <v>427</v>
      </c>
      <c r="D74" s="112" t="s">
        <v>492</v>
      </c>
      <c r="E74" s="111" t="s">
        <v>464</v>
      </c>
      <c r="F74" s="113">
        <v>0.12</v>
      </c>
      <c r="G74" s="121" t="s">
        <v>493</v>
      </c>
      <c r="H74" s="121" t="s">
        <v>539</v>
      </c>
      <c r="I74" s="285">
        <f t="shared" si="7"/>
        <v>2.0171999999999999</v>
      </c>
    </row>
    <row r="75" spans="1:9" ht="42.75">
      <c r="A75" s="115" t="s">
        <v>437</v>
      </c>
      <c r="B75" s="115" t="s">
        <v>540</v>
      </c>
      <c r="C75" s="115" t="s">
        <v>427</v>
      </c>
      <c r="D75" s="116" t="s">
        <v>541</v>
      </c>
      <c r="E75" s="115" t="s">
        <v>542</v>
      </c>
      <c r="F75" s="117">
        <v>0.12</v>
      </c>
      <c r="G75" s="120" t="s">
        <v>543</v>
      </c>
      <c r="H75" s="120" t="s">
        <v>544</v>
      </c>
      <c r="I75" s="285">
        <f t="shared" si="7"/>
        <v>1.5131999999999999</v>
      </c>
    </row>
    <row r="76" spans="1:9">
      <c r="A76" s="104"/>
      <c r="B76" s="104"/>
      <c r="C76" s="104"/>
      <c r="D76" s="104"/>
      <c r="E76" s="104"/>
      <c r="F76" s="105"/>
      <c r="G76" s="106"/>
      <c r="H76" s="107"/>
      <c r="I76" s="285"/>
    </row>
    <row r="77" spans="1:9">
      <c r="A77" s="108"/>
      <c r="B77" s="108"/>
      <c r="C77" s="108"/>
      <c r="D77" s="108"/>
      <c r="E77" s="108"/>
      <c r="F77" s="109"/>
      <c r="G77" s="110"/>
      <c r="H77" s="110"/>
      <c r="I77" s="285"/>
    </row>
    <row r="78" spans="1:9">
      <c r="A78" s="97" t="s">
        <v>545</v>
      </c>
      <c r="B78" s="97" t="s">
        <v>418</v>
      </c>
      <c r="C78" s="97" t="s">
        <v>419</v>
      </c>
      <c r="D78" s="98" t="s">
        <v>420</v>
      </c>
      <c r="E78" s="97" t="s">
        <v>421</v>
      </c>
      <c r="F78" s="99" t="s">
        <v>422</v>
      </c>
      <c r="G78" s="97" t="s">
        <v>423</v>
      </c>
      <c r="H78" s="97" t="s">
        <v>424</v>
      </c>
      <c r="I78" s="285"/>
    </row>
    <row r="79" spans="1:9" ht="42.75">
      <c r="A79" s="100" t="s">
        <v>425</v>
      </c>
      <c r="B79" s="100" t="s">
        <v>546</v>
      </c>
      <c r="C79" s="100" t="s">
        <v>431</v>
      </c>
      <c r="D79" s="101" t="s">
        <v>52</v>
      </c>
      <c r="E79" s="100" t="s">
        <v>468</v>
      </c>
      <c r="F79" s="102">
        <v>1</v>
      </c>
      <c r="G79" s="119" t="s">
        <v>547</v>
      </c>
      <c r="H79" s="119" t="s">
        <v>547</v>
      </c>
      <c r="I79" s="285">
        <f>SUM(I80:I84)</f>
        <v>512.81687999999997</v>
      </c>
    </row>
    <row r="80" spans="1:9" ht="42.75">
      <c r="A80" s="111" t="s">
        <v>434</v>
      </c>
      <c r="B80" s="111" t="s">
        <v>548</v>
      </c>
      <c r="C80" s="111" t="s">
        <v>431</v>
      </c>
      <c r="D80" s="112" t="s">
        <v>549</v>
      </c>
      <c r="E80" s="111" t="s">
        <v>515</v>
      </c>
      <c r="F80" s="113">
        <v>8.7999999999999995E-2</v>
      </c>
      <c r="G80" s="121" t="s">
        <v>550</v>
      </c>
      <c r="H80" s="121" t="s">
        <v>551</v>
      </c>
      <c r="I80" s="285">
        <f t="shared" ref="I80:I84" si="8">F80*G80</f>
        <v>0.11352</v>
      </c>
    </row>
    <row r="81" spans="1:18" ht="42.75">
      <c r="A81" s="111" t="s">
        <v>434</v>
      </c>
      <c r="B81" s="111" t="s">
        <v>552</v>
      </c>
      <c r="C81" s="111" t="s">
        <v>431</v>
      </c>
      <c r="D81" s="112" t="s">
        <v>553</v>
      </c>
      <c r="E81" s="111" t="s">
        <v>518</v>
      </c>
      <c r="F81" s="113">
        <v>9.2999999999999999E-2</v>
      </c>
      <c r="G81" s="121" t="s">
        <v>554</v>
      </c>
      <c r="H81" s="121" t="s">
        <v>555</v>
      </c>
      <c r="I81" s="285">
        <f t="shared" si="8"/>
        <v>4.0919999999999998E-2</v>
      </c>
    </row>
    <row r="82" spans="1:18" ht="28.5">
      <c r="A82" s="111" t="s">
        <v>434</v>
      </c>
      <c r="B82" s="111" t="s">
        <v>519</v>
      </c>
      <c r="C82" s="111" t="s">
        <v>431</v>
      </c>
      <c r="D82" s="112" t="s">
        <v>492</v>
      </c>
      <c r="E82" s="111" t="s">
        <v>520</v>
      </c>
      <c r="F82" s="113">
        <v>0.54400000000000004</v>
      </c>
      <c r="G82" s="121" t="s">
        <v>493</v>
      </c>
      <c r="H82" s="121" t="s">
        <v>556</v>
      </c>
      <c r="I82" s="285">
        <f t="shared" si="8"/>
        <v>9.1446400000000008</v>
      </c>
    </row>
    <row r="83" spans="1:18" ht="28.5">
      <c r="A83" s="111" t="s">
        <v>434</v>
      </c>
      <c r="B83" s="111" t="s">
        <v>521</v>
      </c>
      <c r="C83" s="111" t="s">
        <v>431</v>
      </c>
      <c r="D83" s="112" t="s">
        <v>522</v>
      </c>
      <c r="E83" s="111" t="s">
        <v>520</v>
      </c>
      <c r="F83" s="113">
        <v>0.36299999999999999</v>
      </c>
      <c r="G83" s="121" t="s">
        <v>537</v>
      </c>
      <c r="H83" s="121" t="s">
        <v>486</v>
      </c>
      <c r="I83" s="285">
        <f t="shared" si="8"/>
        <v>8.3853000000000009</v>
      </c>
    </row>
    <row r="84" spans="1:18" ht="42.75">
      <c r="A84" s="115" t="s">
        <v>437</v>
      </c>
      <c r="B84" s="115" t="s">
        <v>557</v>
      </c>
      <c r="C84" s="115" t="s">
        <v>431</v>
      </c>
      <c r="D84" s="116" t="s">
        <v>558</v>
      </c>
      <c r="E84" s="115" t="s">
        <v>468</v>
      </c>
      <c r="F84" s="117">
        <v>1.1499999999999999</v>
      </c>
      <c r="G84" s="120" t="s">
        <v>559</v>
      </c>
      <c r="H84" s="120" t="s">
        <v>560</v>
      </c>
      <c r="I84" s="285">
        <f t="shared" si="8"/>
        <v>495.13249999999999</v>
      </c>
    </row>
    <row r="85" spans="1:18">
      <c r="A85" s="104"/>
      <c r="B85" s="104"/>
      <c r="C85" s="104"/>
      <c r="D85" s="104"/>
      <c r="E85" s="104"/>
      <c r="F85" s="105"/>
      <c r="G85" s="106"/>
      <c r="H85" s="107"/>
      <c r="I85" s="285"/>
    </row>
    <row r="86" spans="1:18">
      <c r="A86" s="108"/>
      <c r="B86" s="108"/>
      <c r="C86" s="108"/>
      <c r="D86" s="108"/>
      <c r="E86" s="108"/>
      <c r="F86" s="109"/>
      <c r="G86" s="110"/>
      <c r="H86" s="110"/>
      <c r="I86" s="285"/>
    </row>
    <row r="87" spans="1:18">
      <c r="A87" s="97" t="s">
        <v>561</v>
      </c>
      <c r="B87" s="97" t="s">
        <v>418</v>
      </c>
      <c r="C87" s="97" t="s">
        <v>419</v>
      </c>
      <c r="D87" s="98" t="s">
        <v>420</v>
      </c>
      <c r="E87" s="97" t="s">
        <v>421</v>
      </c>
      <c r="F87" s="99" t="s">
        <v>422</v>
      </c>
      <c r="G87" s="97" t="s">
        <v>423</v>
      </c>
      <c r="H87" s="97" t="s">
        <v>424</v>
      </c>
      <c r="I87" s="285"/>
    </row>
    <row r="88" spans="1:18" ht="42.75">
      <c r="A88" s="100" t="s">
        <v>425</v>
      </c>
      <c r="B88" s="100" t="s">
        <v>562</v>
      </c>
      <c r="C88" s="100" t="s">
        <v>427</v>
      </c>
      <c r="D88" s="101" t="s">
        <v>344</v>
      </c>
      <c r="E88" s="100" t="s">
        <v>451</v>
      </c>
      <c r="F88" s="102">
        <v>1</v>
      </c>
      <c r="G88" s="119">
        <v>52.57</v>
      </c>
      <c r="H88" s="119">
        <v>52.57</v>
      </c>
      <c r="I88" s="285">
        <f>SUM(I89:I91)</f>
        <v>52.583840000000009</v>
      </c>
      <c r="J88" s="100" t="s">
        <v>425</v>
      </c>
      <c r="K88" s="100" t="s">
        <v>562</v>
      </c>
      <c r="L88" s="100" t="s">
        <v>427</v>
      </c>
      <c r="M88" s="101" t="s">
        <v>55</v>
      </c>
      <c r="N88" s="100" t="s">
        <v>451</v>
      </c>
      <c r="O88" s="102">
        <v>1</v>
      </c>
      <c r="P88" s="119" t="s">
        <v>563</v>
      </c>
      <c r="Q88" s="119" t="s">
        <v>563</v>
      </c>
      <c r="R88" s="285">
        <f>SUM(R89:R93)</f>
        <v>58.127520000000004</v>
      </c>
    </row>
    <row r="89" spans="1:18" ht="42.75">
      <c r="A89" s="274" t="s">
        <v>437</v>
      </c>
      <c r="B89" s="274" t="s">
        <v>568</v>
      </c>
      <c r="C89" s="274" t="s">
        <v>427</v>
      </c>
      <c r="D89" s="275" t="s">
        <v>569</v>
      </c>
      <c r="E89" s="274" t="s">
        <v>451</v>
      </c>
      <c r="F89" s="276">
        <v>0.128</v>
      </c>
      <c r="G89" s="120">
        <v>65.180000000000007</v>
      </c>
      <c r="H89" s="120">
        <v>8.34</v>
      </c>
      <c r="I89" s="285">
        <f t="shared" ref="I89:I91" si="9">F89*G89</f>
        <v>8.3430400000000002</v>
      </c>
      <c r="J89" s="271" t="s">
        <v>437</v>
      </c>
      <c r="K89" s="271" t="s">
        <v>564</v>
      </c>
      <c r="L89" s="271" t="s">
        <v>427</v>
      </c>
      <c r="M89" s="272" t="s">
        <v>565</v>
      </c>
      <c r="N89" s="271" t="s">
        <v>451</v>
      </c>
      <c r="O89" s="273">
        <v>0.53600000000000003</v>
      </c>
      <c r="P89" s="120" t="s">
        <v>566</v>
      </c>
      <c r="Q89" s="120" t="s">
        <v>567</v>
      </c>
      <c r="R89" s="285">
        <f t="shared" ref="R89:R91" si="10">O89*P89</f>
        <v>34.936480000000003</v>
      </c>
    </row>
    <row r="90" spans="1:18" ht="42.75">
      <c r="A90" s="274" t="s">
        <v>437</v>
      </c>
      <c r="B90" s="274" t="s">
        <v>572</v>
      </c>
      <c r="C90" s="274" t="s">
        <v>427</v>
      </c>
      <c r="D90" s="275" t="s">
        <v>573</v>
      </c>
      <c r="E90" s="274" t="s">
        <v>451</v>
      </c>
      <c r="F90" s="276">
        <v>0.33600000000000002</v>
      </c>
      <c r="G90" s="120">
        <v>54.97</v>
      </c>
      <c r="H90" s="120">
        <v>18.46</v>
      </c>
      <c r="I90" s="285">
        <f t="shared" si="9"/>
        <v>18.469920000000002</v>
      </c>
      <c r="J90" s="271" t="s">
        <v>437</v>
      </c>
      <c r="K90" s="271" t="s">
        <v>568</v>
      </c>
      <c r="L90" s="271" t="s">
        <v>427</v>
      </c>
      <c r="M90" s="272" t="s">
        <v>569</v>
      </c>
      <c r="N90" s="271" t="s">
        <v>451</v>
      </c>
      <c r="O90" s="273">
        <v>0.128</v>
      </c>
      <c r="P90" s="120" t="s">
        <v>570</v>
      </c>
      <c r="Q90" s="120" t="s">
        <v>571</v>
      </c>
      <c r="R90" s="285">
        <f t="shared" si="10"/>
        <v>7.0361599999999997</v>
      </c>
    </row>
    <row r="91" spans="1:18" ht="42.75">
      <c r="A91" s="274" t="s">
        <v>437</v>
      </c>
      <c r="B91" s="274" t="s">
        <v>564</v>
      </c>
      <c r="C91" s="274" t="s">
        <v>427</v>
      </c>
      <c r="D91" s="275" t="s">
        <v>565</v>
      </c>
      <c r="E91" s="274" t="s">
        <v>451</v>
      </c>
      <c r="F91" s="276">
        <v>0.53600000000000003</v>
      </c>
      <c r="G91" s="120">
        <v>48.08</v>
      </c>
      <c r="H91" s="120">
        <v>25.77</v>
      </c>
      <c r="I91" s="285">
        <f t="shared" si="9"/>
        <v>25.770880000000002</v>
      </c>
      <c r="J91" s="271" t="s">
        <v>437</v>
      </c>
      <c r="K91" s="271" t="s">
        <v>572</v>
      </c>
      <c r="L91" s="271" t="s">
        <v>427</v>
      </c>
      <c r="M91" s="272" t="s">
        <v>573</v>
      </c>
      <c r="N91" s="271" t="s">
        <v>451</v>
      </c>
      <c r="O91" s="273">
        <v>0.33600000000000002</v>
      </c>
      <c r="P91" s="120" t="s">
        <v>574</v>
      </c>
      <c r="Q91" s="120" t="s">
        <v>575</v>
      </c>
      <c r="R91" s="285">
        <f t="shared" si="10"/>
        <v>16.154880000000002</v>
      </c>
    </row>
    <row r="92" spans="1:18">
      <c r="A92" s="104"/>
      <c r="B92" s="104"/>
      <c r="C92" s="104"/>
      <c r="D92" s="104"/>
      <c r="E92" s="104"/>
      <c r="F92" s="105"/>
      <c r="G92" s="106"/>
      <c r="H92" s="107"/>
      <c r="I92" s="285"/>
    </row>
    <row r="93" spans="1:18">
      <c r="A93" s="108"/>
      <c r="B93" s="108"/>
      <c r="C93" s="108"/>
      <c r="D93" s="108"/>
      <c r="E93" s="108"/>
      <c r="F93" s="109"/>
      <c r="G93" s="110"/>
      <c r="H93" s="110"/>
      <c r="I93" s="285"/>
    </row>
    <row r="94" spans="1:18">
      <c r="A94" s="97" t="s">
        <v>576</v>
      </c>
      <c r="B94" s="97" t="s">
        <v>418</v>
      </c>
      <c r="C94" s="97" t="s">
        <v>419</v>
      </c>
      <c r="D94" s="98" t="s">
        <v>420</v>
      </c>
      <c r="E94" s="97" t="s">
        <v>421</v>
      </c>
      <c r="F94" s="99" t="s">
        <v>422</v>
      </c>
      <c r="G94" s="97" t="s">
        <v>423</v>
      </c>
      <c r="H94" s="97" t="s">
        <v>424</v>
      </c>
      <c r="I94" s="285"/>
    </row>
    <row r="95" spans="1:18" ht="28.5">
      <c r="A95" s="100" t="s">
        <v>425</v>
      </c>
      <c r="B95" s="100" t="s">
        <v>577</v>
      </c>
      <c r="C95" s="100" t="s">
        <v>431</v>
      </c>
      <c r="D95" s="101" t="s">
        <v>57</v>
      </c>
      <c r="E95" s="100" t="s">
        <v>451</v>
      </c>
      <c r="F95" s="102">
        <v>1</v>
      </c>
      <c r="G95" s="103">
        <v>36.22</v>
      </c>
      <c r="H95" s="103">
        <v>36.22</v>
      </c>
      <c r="I95" s="285">
        <f>SUM(I96:I99)</f>
        <v>36.237400000000001</v>
      </c>
    </row>
    <row r="96" spans="1:18" ht="28.5">
      <c r="A96" s="111" t="s">
        <v>434</v>
      </c>
      <c r="B96" s="111" t="s">
        <v>578</v>
      </c>
      <c r="C96" s="111" t="s">
        <v>431</v>
      </c>
      <c r="D96" s="112" t="s">
        <v>579</v>
      </c>
      <c r="E96" s="111" t="s">
        <v>520</v>
      </c>
      <c r="F96" s="113">
        <v>8.5000000000000006E-2</v>
      </c>
      <c r="G96" s="114">
        <v>18.52</v>
      </c>
      <c r="H96" s="114">
        <v>1.57</v>
      </c>
      <c r="I96" s="285">
        <f t="shared" ref="I96:I98" si="11">F96*G96</f>
        <v>1.5742</v>
      </c>
    </row>
    <row r="97" spans="1:9" ht="28.5">
      <c r="A97" s="111" t="s">
        <v>434</v>
      </c>
      <c r="B97" s="111" t="s">
        <v>580</v>
      </c>
      <c r="C97" s="111" t="s">
        <v>431</v>
      </c>
      <c r="D97" s="112" t="s">
        <v>581</v>
      </c>
      <c r="E97" s="111" t="s">
        <v>520</v>
      </c>
      <c r="F97" s="113">
        <v>0.42199999999999999</v>
      </c>
      <c r="G97" s="114">
        <v>23.1</v>
      </c>
      <c r="H97" s="114">
        <v>9.74</v>
      </c>
      <c r="I97" s="285">
        <f t="shared" si="11"/>
        <v>9.7482000000000006</v>
      </c>
    </row>
    <row r="98" spans="1:9" ht="57">
      <c r="A98" s="115" t="s">
        <v>437</v>
      </c>
      <c r="B98" s="115" t="s">
        <v>582</v>
      </c>
      <c r="C98" s="115" t="s">
        <v>431</v>
      </c>
      <c r="D98" s="116" t="s">
        <v>583</v>
      </c>
      <c r="E98" s="115" t="s">
        <v>60</v>
      </c>
      <c r="F98" s="117">
        <v>1.5</v>
      </c>
      <c r="G98" s="118">
        <v>16.61</v>
      </c>
      <c r="H98" s="118">
        <v>24.91</v>
      </c>
      <c r="I98" s="285">
        <f t="shared" si="11"/>
        <v>24.914999999999999</v>
      </c>
    </row>
    <row r="99" spans="1:9">
      <c r="A99" s="104"/>
      <c r="B99" s="104"/>
      <c r="C99" s="104"/>
      <c r="D99" s="104"/>
      <c r="E99" s="104"/>
      <c r="F99" s="105"/>
      <c r="G99" s="106"/>
      <c r="H99" s="107"/>
      <c r="I99" s="285"/>
    </row>
    <row r="100" spans="1:9">
      <c r="A100" s="108"/>
      <c r="B100" s="108"/>
      <c r="C100" s="108"/>
      <c r="D100" s="108"/>
      <c r="E100" s="108"/>
      <c r="F100" s="109"/>
      <c r="G100" s="110"/>
      <c r="H100" s="110"/>
      <c r="I100" s="285"/>
    </row>
    <row r="101" spans="1:9">
      <c r="A101" s="97" t="s">
        <v>584</v>
      </c>
      <c r="B101" s="97" t="s">
        <v>418</v>
      </c>
      <c r="C101" s="97" t="s">
        <v>419</v>
      </c>
      <c r="D101" s="98" t="s">
        <v>420</v>
      </c>
      <c r="E101" s="97" t="s">
        <v>421</v>
      </c>
      <c r="F101" s="99" t="s">
        <v>422</v>
      </c>
      <c r="G101" s="97" t="s">
        <v>423</v>
      </c>
      <c r="H101" s="97" t="s">
        <v>424</v>
      </c>
      <c r="I101" s="285"/>
    </row>
    <row r="102" spans="1:9" ht="28.5">
      <c r="A102" s="100" t="s">
        <v>425</v>
      </c>
      <c r="B102" s="100" t="s">
        <v>585</v>
      </c>
      <c r="C102" s="100" t="s">
        <v>431</v>
      </c>
      <c r="D102" s="101" t="s">
        <v>586</v>
      </c>
      <c r="E102" s="100" t="s">
        <v>60</v>
      </c>
      <c r="F102" s="102">
        <v>1</v>
      </c>
      <c r="G102" s="103">
        <v>17.920000000000002</v>
      </c>
      <c r="H102" s="103">
        <v>17.920000000000002</v>
      </c>
      <c r="I102" s="285">
        <f>SUM(I103:I107)</f>
        <v>17.935165000000001</v>
      </c>
    </row>
    <row r="103" spans="1:9" ht="42.75">
      <c r="A103" s="111" t="s">
        <v>434</v>
      </c>
      <c r="B103" s="111" t="s">
        <v>587</v>
      </c>
      <c r="C103" s="111" t="s">
        <v>431</v>
      </c>
      <c r="D103" s="112" t="s">
        <v>588</v>
      </c>
      <c r="E103" s="111" t="s">
        <v>60</v>
      </c>
      <c r="F103" s="113">
        <v>1</v>
      </c>
      <c r="G103" s="114">
        <v>11.34</v>
      </c>
      <c r="H103" s="114">
        <v>11.34</v>
      </c>
      <c r="I103" s="285">
        <f t="shared" ref="I103:I107" si="12">F103*G103</f>
        <v>11.34</v>
      </c>
    </row>
    <row r="104" spans="1:9" ht="28.5">
      <c r="A104" s="111" t="s">
        <v>434</v>
      </c>
      <c r="B104" s="111" t="s">
        <v>589</v>
      </c>
      <c r="C104" s="111" t="s">
        <v>431</v>
      </c>
      <c r="D104" s="112" t="s">
        <v>590</v>
      </c>
      <c r="E104" s="111" t="s">
        <v>520</v>
      </c>
      <c r="F104" s="113">
        <v>6.3500000000000001E-2</v>
      </c>
      <c r="G104" s="114">
        <v>17.059999999999999</v>
      </c>
      <c r="H104" s="114">
        <v>1.08</v>
      </c>
      <c r="I104" s="285">
        <f t="shared" si="12"/>
        <v>1.08331</v>
      </c>
    </row>
    <row r="105" spans="1:9" ht="28.5">
      <c r="A105" s="111" t="s">
        <v>434</v>
      </c>
      <c r="B105" s="111" t="s">
        <v>591</v>
      </c>
      <c r="C105" s="111" t="s">
        <v>431</v>
      </c>
      <c r="D105" s="112" t="s">
        <v>592</v>
      </c>
      <c r="E105" s="111" t="s">
        <v>520</v>
      </c>
      <c r="F105" s="113">
        <v>0.19450000000000001</v>
      </c>
      <c r="G105" s="114">
        <v>22.96</v>
      </c>
      <c r="H105" s="114">
        <v>4.46</v>
      </c>
      <c r="I105" s="285">
        <f t="shared" si="12"/>
        <v>4.4657200000000001</v>
      </c>
    </row>
    <row r="106" spans="1:9" ht="28.5">
      <c r="A106" s="115" t="s">
        <v>437</v>
      </c>
      <c r="B106" s="115" t="s">
        <v>593</v>
      </c>
      <c r="C106" s="115" t="s">
        <v>431</v>
      </c>
      <c r="D106" s="116" t="s">
        <v>594</v>
      </c>
      <c r="E106" s="115" t="s">
        <v>60</v>
      </c>
      <c r="F106" s="117">
        <v>2.5000000000000001E-2</v>
      </c>
      <c r="G106" s="118">
        <v>26.9</v>
      </c>
      <c r="H106" s="118">
        <v>0.67</v>
      </c>
      <c r="I106" s="285">
        <f t="shared" si="12"/>
        <v>0.67249999999999999</v>
      </c>
    </row>
    <row r="107" spans="1:9" ht="42.75">
      <c r="A107" s="115" t="s">
        <v>437</v>
      </c>
      <c r="B107" s="115" t="s">
        <v>595</v>
      </c>
      <c r="C107" s="115" t="s">
        <v>431</v>
      </c>
      <c r="D107" s="116" t="s">
        <v>596</v>
      </c>
      <c r="E107" s="115" t="s">
        <v>8</v>
      </c>
      <c r="F107" s="117">
        <v>1.9664999999999999</v>
      </c>
      <c r="G107" s="118">
        <v>0.19</v>
      </c>
      <c r="H107" s="118">
        <v>0.37</v>
      </c>
      <c r="I107" s="285">
        <f t="shared" si="12"/>
        <v>0.37363499999999999</v>
      </c>
    </row>
    <row r="108" spans="1:9">
      <c r="A108" s="104"/>
      <c r="B108" s="104"/>
      <c r="C108" s="104"/>
      <c r="D108" s="104"/>
      <c r="E108" s="104"/>
      <c r="F108" s="105"/>
      <c r="G108" s="106"/>
      <c r="H108" s="107"/>
      <c r="I108" s="285"/>
    </row>
    <row r="109" spans="1:9">
      <c r="A109" s="108"/>
      <c r="B109" s="108"/>
      <c r="C109" s="108"/>
      <c r="D109" s="108"/>
      <c r="E109" s="108"/>
      <c r="F109" s="109"/>
      <c r="G109" s="110"/>
      <c r="H109" s="110"/>
      <c r="I109" s="285"/>
    </row>
    <row r="110" spans="1:9">
      <c r="A110" s="97" t="s">
        <v>597</v>
      </c>
      <c r="B110" s="97" t="s">
        <v>418</v>
      </c>
      <c r="C110" s="97" t="s">
        <v>419</v>
      </c>
      <c r="D110" s="98" t="s">
        <v>420</v>
      </c>
      <c r="E110" s="97" t="s">
        <v>421</v>
      </c>
      <c r="F110" s="99" t="s">
        <v>422</v>
      </c>
      <c r="G110" s="97" t="s">
        <v>423</v>
      </c>
      <c r="H110" s="97" t="s">
        <v>424</v>
      </c>
      <c r="I110" s="285"/>
    </row>
    <row r="111" spans="1:9" ht="28.5">
      <c r="A111" s="100" t="s">
        <v>425</v>
      </c>
      <c r="B111" s="100" t="s">
        <v>598</v>
      </c>
      <c r="C111" s="100" t="s">
        <v>431</v>
      </c>
      <c r="D111" s="101" t="s">
        <v>62</v>
      </c>
      <c r="E111" s="100" t="s">
        <v>60</v>
      </c>
      <c r="F111" s="102">
        <v>1</v>
      </c>
      <c r="G111" s="103">
        <v>15.58</v>
      </c>
      <c r="H111" s="103">
        <v>15.58</v>
      </c>
      <c r="I111" s="285">
        <f>SUM(I112:I116)</f>
        <v>15.60169</v>
      </c>
    </row>
    <row r="112" spans="1:9" ht="42.75">
      <c r="A112" s="111" t="s">
        <v>434</v>
      </c>
      <c r="B112" s="111" t="s">
        <v>599</v>
      </c>
      <c r="C112" s="111" t="s">
        <v>431</v>
      </c>
      <c r="D112" s="112" t="s">
        <v>600</v>
      </c>
      <c r="E112" s="111" t="s">
        <v>60</v>
      </c>
      <c r="F112" s="113">
        <v>1</v>
      </c>
      <c r="G112" s="114">
        <v>11.5</v>
      </c>
      <c r="H112" s="114">
        <v>11.5</v>
      </c>
      <c r="I112" s="285">
        <f t="shared" ref="I112:I116" si="13">F112*G112</f>
        <v>11.5</v>
      </c>
    </row>
    <row r="113" spans="1:9" ht="28.5">
      <c r="A113" s="111" t="s">
        <v>434</v>
      </c>
      <c r="B113" s="111" t="s">
        <v>589</v>
      </c>
      <c r="C113" s="111" t="s">
        <v>431</v>
      </c>
      <c r="D113" s="112" t="s">
        <v>590</v>
      </c>
      <c r="E113" s="111" t="s">
        <v>520</v>
      </c>
      <c r="F113" s="113">
        <v>3.7499999999999999E-2</v>
      </c>
      <c r="G113" s="114">
        <v>17.059999999999999</v>
      </c>
      <c r="H113" s="114">
        <v>0.63</v>
      </c>
      <c r="I113" s="285">
        <f t="shared" si="13"/>
        <v>0.63974999999999993</v>
      </c>
    </row>
    <row r="114" spans="1:9" ht="28.5">
      <c r="A114" s="111" t="s">
        <v>434</v>
      </c>
      <c r="B114" s="111" t="s">
        <v>591</v>
      </c>
      <c r="C114" s="111" t="s">
        <v>431</v>
      </c>
      <c r="D114" s="112" t="s">
        <v>592</v>
      </c>
      <c r="E114" s="111" t="s">
        <v>520</v>
      </c>
      <c r="F114" s="113">
        <v>0.11550000000000001</v>
      </c>
      <c r="G114" s="114">
        <v>22.96</v>
      </c>
      <c r="H114" s="114">
        <v>2.65</v>
      </c>
      <c r="I114" s="285">
        <f t="shared" si="13"/>
        <v>2.6518800000000002</v>
      </c>
    </row>
    <row r="115" spans="1:9" ht="28.5">
      <c r="A115" s="115" t="s">
        <v>437</v>
      </c>
      <c r="B115" s="115" t="s">
        <v>593</v>
      </c>
      <c r="C115" s="115" t="s">
        <v>431</v>
      </c>
      <c r="D115" s="116" t="s">
        <v>594</v>
      </c>
      <c r="E115" s="115" t="s">
        <v>60</v>
      </c>
      <c r="F115" s="117">
        <v>2.5000000000000001E-2</v>
      </c>
      <c r="G115" s="118">
        <v>26.9</v>
      </c>
      <c r="H115" s="118">
        <v>0.67</v>
      </c>
      <c r="I115" s="285">
        <f t="shared" si="13"/>
        <v>0.67249999999999999</v>
      </c>
    </row>
    <row r="116" spans="1:9" ht="42.75">
      <c r="A116" s="115" t="s">
        <v>437</v>
      </c>
      <c r="B116" s="115" t="s">
        <v>595</v>
      </c>
      <c r="C116" s="115" t="s">
        <v>431</v>
      </c>
      <c r="D116" s="116" t="s">
        <v>596</v>
      </c>
      <c r="E116" s="115" t="s">
        <v>8</v>
      </c>
      <c r="F116" s="117">
        <v>0.72399999999999998</v>
      </c>
      <c r="G116" s="118">
        <v>0.19</v>
      </c>
      <c r="H116" s="118">
        <v>0.13</v>
      </c>
      <c r="I116" s="285">
        <f t="shared" si="13"/>
        <v>0.13755999999999999</v>
      </c>
    </row>
    <row r="117" spans="1:9">
      <c r="A117" s="104"/>
      <c r="B117" s="104"/>
      <c r="C117" s="104"/>
      <c r="D117" s="104"/>
      <c r="E117" s="104"/>
      <c r="F117" s="105"/>
      <c r="G117" s="106"/>
      <c r="H117" s="107"/>
      <c r="I117" s="285"/>
    </row>
    <row r="118" spans="1:9">
      <c r="A118" s="108"/>
      <c r="B118" s="108"/>
      <c r="C118" s="108"/>
      <c r="D118" s="108"/>
      <c r="E118" s="108"/>
      <c r="F118" s="109"/>
      <c r="G118" s="110"/>
      <c r="H118" s="110"/>
      <c r="I118" s="285"/>
    </row>
    <row r="119" spans="1:9">
      <c r="A119" s="92" t="s">
        <v>601</v>
      </c>
      <c r="B119" s="92"/>
      <c r="C119" s="92"/>
      <c r="D119" s="93" t="s">
        <v>602</v>
      </c>
      <c r="E119" s="94"/>
      <c r="F119" s="95"/>
      <c r="G119" s="92"/>
      <c r="H119" s="96"/>
      <c r="I119" s="285"/>
    </row>
    <row r="120" spans="1:9">
      <c r="A120" s="97" t="s">
        <v>603</v>
      </c>
      <c r="B120" s="97" t="s">
        <v>418</v>
      </c>
      <c r="C120" s="97" t="s">
        <v>419</v>
      </c>
      <c r="D120" s="98" t="s">
        <v>420</v>
      </c>
      <c r="E120" s="97" t="s">
        <v>421</v>
      </c>
      <c r="F120" s="99" t="s">
        <v>422</v>
      </c>
      <c r="G120" s="97" t="s">
        <v>423</v>
      </c>
      <c r="H120" s="97" t="s">
        <v>424</v>
      </c>
      <c r="I120" s="285"/>
    </row>
    <row r="121" spans="1:9" ht="28.5">
      <c r="A121" s="100" t="s">
        <v>425</v>
      </c>
      <c r="B121" s="100" t="s">
        <v>604</v>
      </c>
      <c r="C121" s="100" t="s">
        <v>427</v>
      </c>
      <c r="D121" s="101" t="s">
        <v>67</v>
      </c>
      <c r="E121" s="100" t="s">
        <v>451</v>
      </c>
      <c r="F121" s="102">
        <v>1</v>
      </c>
      <c r="G121" s="119" t="s">
        <v>605</v>
      </c>
      <c r="H121" s="119" t="s">
        <v>605</v>
      </c>
      <c r="I121" s="285">
        <f>SUM(I122:I123)</f>
        <v>2.5630000000000002</v>
      </c>
    </row>
    <row r="122" spans="1:9" ht="28.5">
      <c r="A122" s="111" t="s">
        <v>434</v>
      </c>
      <c r="B122" s="111" t="s">
        <v>491</v>
      </c>
      <c r="C122" s="111" t="s">
        <v>427</v>
      </c>
      <c r="D122" s="112" t="s">
        <v>492</v>
      </c>
      <c r="E122" s="111" t="s">
        <v>464</v>
      </c>
      <c r="F122" s="113">
        <v>0.1</v>
      </c>
      <c r="G122" s="121" t="s">
        <v>493</v>
      </c>
      <c r="H122" s="121" t="s">
        <v>606</v>
      </c>
      <c r="I122" s="285">
        <f t="shared" ref="I122:I132" si="14">F122*G122</f>
        <v>1.681</v>
      </c>
    </row>
    <row r="123" spans="1:9" ht="28.5">
      <c r="A123" s="115" t="s">
        <v>437</v>
      </c>
      <c r="B123" s="115" t="s">
        <v>607</v>
      </c>
      <c r="C123" s="115" t="s">
        <v>427</v>
      </c>
      <c r="D123" s="116" t="s">
        <v>608</v>
      </c>
      <c r="E123" s="115" t="s">
        <v>451</v>
      </c>
      <c r="F123" s="117">
        <v>1.05</v>
      </c>
      <c r="G123" s="120" t="s">
        <v>609</v>
      </c>
      <c r="H123" s="120" t="s">
        <v>610</v>
      </c>
      <c r="I123" s="285">
        <f t="shared" si="14"/>
        <v>0.88200000000000001</v>
      </c>
    </row>
    <row r="124" spans="1:9">
      <c r="A124" s="104"/>
      <c r="B124" s="104"/>
      <c r="C124" s="104"/>
      <c r="D124" s="104"/>
      <c r="E124" s="104"/>
      <c r="F124" s="105"/>
      <c r="G124" s="106"/>
      <c r="H124" s="107"/>
      <c r="I124" s="285"/>
    </row>
    <row r="125" spans="1:9">
      <c r="A125" s="108"/>
      <c r="B125" s="108"/>
      <c r="C125" s="108"/>
      <c r="D125" s="108"/>
      <c r="E125" s="108"/>
      <c r="F125" s="109"/>
      <c r="G125" s="110"/>
      <c r="H125" s="110"/>
      <c r="I125" s="285"/>
    </row>
    <row r="126" spans="1:9">
      <c r="A126" s="97" t="s">
        <v>611</v>
      </c>
      <c r="B126" s="97" t="s">
        <v>418</v>
      </c>
      <c r="C126" s="97" t="s">
        <v>419</v>
      </c>
      <c r="D126" s="98" t="s">
        <v>420</v>
      </c>
      <c r="E126" s="97" t="s">
        <v>421</v>
      </c>
      <c r="F126" s="99" t="s">
        <v>422</v>
      </c>
      <c r="G126" s="97" t="s">
        <v>423</v>
      </c>
      <c r="H126" s="97" t="s">
        <v>424</v>
      </c>
      <c r="I126" s="285"/>
    </row>
    <row r="127" spans="1:9" ht="28.5">
      <c r="A127" s="100" t="s">
        <v>425</v>
      </c>
      <c r="B127" s="100" t="s">
        <v>612</v>
      </c>
      <c r="C127" s="100" t="s">
        <v>431</v>
      </c>
      <c r="D127" s="101" t="s">
        <v>69</v>
      </c>
      <c r="E127" s="100" t="s">
        <v>60</v>
      </c>
      <c r="F127" s="102">
        <v>1</v>
      </c>
      <c r="G127" s="103">
        <v>18.100000000000001</v>
      </c>
      <c r="H127" s="103">
        <v>18.100000000000001</v>
      </c>
      <c r="I127" s="285">
        <f>SUM(I128:I132)</f>
        <v>18.125579999999999</v>
      </c>
    </row>
    <row r="128" spans="1:9" ht="28.5">
      <c r="A128" s="111" t="s">
        <v>434</v>
      </c>
      <c r="B128" s="111" t="s">
        <v>589</v>
      </c>
      <c r="C128" s="111" t="s">
        <v>431</v>
      </c>
      <c r="D128" s="112" t="s">
        <v>590</v>
      </c>
      <c r="E128" s="111" t="s">
        <v>520</v>
      </c>
      <c r="F128" s="113">
        <v>8.0000000000000002E-3</v>
      </c>
      <c r="G128" s="114">
        <v>17.059999999999999</v>
      </c>
      <c r="H128" s="114">
        <v>0.13</v>
      </c>
      <c r="I128" s="285">
        <f t="shared" si="14"/>
        <v>0.13647999999999999</v>
      </c>
    </row>
    <row r="129" spans="1:9" ht="28.5">
      <c r="A129" s="111" t="s">
        <v>434</v>
      </c>
      <c r="B129" s="111" t="s">
        <v>591</v>
      </c>
      <c r="C129" s="111" t="s">
        <v>431</v>
      </c>
      <c r="D129" s="112" t="s">
        <v>592</v>
      </c>
      <c r="E129" s="111" t="s">
        <v>520</v>
      </c>
      <c r="F129" s="113">
        <v>2.4E-2</v>
      </c>
      <c r="G129" s="114">
        <v>22.96</v>
      </c>
      <c r="H129" s="114">
        <v>0.55000000000000004</v>
      </c>
      <c r="I129" s="285">
        <f t="shared" si="14"/>
        <v>0.55104000000000009</v>
      </c>
    </row>
    <row r="130" spans="1:9" ht="28.5">
      <c r="A130" s="115" t="s">
        <v>437</v>
      </c>
      <c r="B130" s="115" t="s">
        <v>593</v>
      </c>
      <c r="C130" s="115" t="s">
        <v>431</v>
      </c>
      <c r="D130" s="116" t="s">
        <v>594</v>
      </c>
      <c r="E130" s="115" t="s">
        <v>60</v>
      </c>
      <c r="F130" s="117">
        <v>1.0999999999999999E-2</v>
      </c>
      <c r="G130" s="118">
        <v>26.9</v>
      </c>
      <c r="H130" s="118">
        <v>0.28999999999999998</v>
      </c>
      <c r="I130" s="285">
        <f t="shared" si="14"/>
        <v>0.29589999999999994</v>
      </c>
    </row>
    <row r="131" spans="1:9" ht="42.75">
      <c r="A131" s="115" t="s">
        <v>437</v>
      </c>
      <c r="B131" s="115" t="s">
        <v>613</v>
      </c>
      <c r="C131" s="115" t="s">
        <v>431</v>
      </c>
      <c r="D131" s="116" t="s">
        <v>614</v>
      </c>
      <c r="E131" s="115" t="s">
        <v>451</v>
      </c>
      <c r="F131" s="117">
        <v>0.39200000000000002</v>
      </c>
      <c r="G131" s="118">
        <v>36.83</v>
      </c>
      <c r="H131" s="118">
        <v>14.43</v>
      </c>
      <c r="I131" s="285">
        <f t="shared" si="14"/>
        <v>14.43736</v>
      </c>
    </row>
    <row r="132" spans="1:9" ht="42.75">
      <c r="A132" s="115" t="s">
        <v>437</v>
      </c>
      <c r="B132" s="115" t="s">
        <v>615</v>
      </c>
      <c r="C132" s="115" t="s">
        <v>431</v>
      </c>
      <c r="D132" s="116" t="s">
        <v>616</v>
      </c>
      <c r="E132" s="115" t="s">
        <v>31</v>
      </c>
      <c r="F132" s="117">
        <v>0.32200000000000001</v>
      </c>
      <c r="G132" s="118">
        <v>8.4</v>
      </c>
      <c r="H132" s="118">
        <v>2.7</v>
      </c>
      <c r="I132" s="285">
        <f t="shared" si="14"/>
        <v>2.7048000000000001</v>
      </c>
    </row>
    <row r="133" spans="1:9">
      <c r="A133" s="104"/>
      <c r="B133" s="104"/>
      <c r="C133" s="104"/>
      <c r="D133" s="104"/>
      <c r="E133" s="104"/>
      <c r="F133" s="105"/>
      <c r="G133" s="106"/>
      <c r="H133" s="107"/>
      <c r="I133" s="285"/>
    </row>
    <row r="134" spans="1:9">
      <c r="A134" s="108"/>
      <c r="B134" s="108"/>
      <c r="C134" s="108"/>
      <c r="D134" s="108"/>
      <c r="E134" s="108"/>
      <c r="F134" s="109"/>
      <c r="G134" s="110"/>
      <c r="H134" s="110"/>
      <c r="I134" s="285"/>
    </row>
    <row r="135" spans="1:9">
      <c r="A135" s="97" t="s">
        <v>617</v>
      </c>
      <c r="B135" s="97" t="s">
        <v>418</v>
      </c>
      <c r="C135" s="97" t="s">
        <v>419</v>
      </c>
      <c r="D135" s="98" t="s">
        <v>420</v>
      </c>
      <c r="E135" s="97" t="s">
        <v>421</v>
      </c>
      <c r="F135" s="99" t="s">
        <v>422</v>
      </c>
      <c r="G135" s="97" t="s">
        <v>423</v>
      </c>
      <c r="H135" s="97" t="s">
        <v>424</v>
      </c>
      <c r="I135" s="285"/>
    </row>
    <row r="136" spans="1:9" ht="42.75">
      <c r="A136" s="100" t="s">
        <v>425</v>
      </c>
      <c r="B136" s="100" t="s">
        <v>618</v>
      </c>
      <c r="C136" s="100" t="s">
        <v>431</v>
      </c>
      <c r="D136" s="101" t="s">
        <v>71</v>
      </c>
      <c r="E136" s="100" t="s">
        <v>468</v>
      </c>
      <c r="F136" s="102">
        <v>1</v>
      </c>
      <c r="G136" s="103">
        <v>472.85</v>
      </c>
      <c r="H136" s="103">
        <v>472.85</v>
      </c>
      <c r="I136" s="285">
        <f>SUM(I137:I141)</f>
        <v>472.87594000000001</v>
      </c>
    </row>
    <row r="137" spans="1:9" ht="42.75">
      <c r="A137" s="111" t="s">
        <v>434</v>
      </c>
      <c r="B137" s="111" t="s">
        <v>548</v>
      </c>
      <c r="C137" s="111" t="s">
        <v>431</v>
      </c>
      <c r="D137" s="112" t="s">
        <v>549</v>
      </c>
      <c r="E137" s="111" t="s">
        <v>515</v>
      </c>
      <c r="F137" s="113">
        <v>5.2999999999999999E-2</v>
      </c>
      <c r="G137" s="114">
        <v>1.29</v>
      </c>
      <c r="H137" s="114">
        <v>0.06</v>
      </c>
      <c r="I137" s="285">
        <f t="shared" ref="I137:I141" si="15">F137*G137</f>
        <v>6.837E-2</v>
      </c>
    </row>
    <row r="138" spans="1:9" ht="42.75">
      <c r="A138" s="111" t="s">
        <v>434</v>
      </c>
      <c r="B138" s="111" t="s">
        <v>552</v>
      </c>
      <c r="C138" s="111" t="s">
        <v>431</v>
      </c>
      <c r="D138" s="112" t="s">
        <v>553</v>
      </c>
      <c r="E138" s="111" t="s">
        <v>518</v>
      </c>
      <c r="F138" s="113">
        <v>4.9000000000000002E-2</v>
      </c>
      <c r="G138" s="114">
        <v>0.44</v>
      </c>
      <c r="H138" s="114">
        <v>0.02</v>
      </c>
      <c r="I138" s="285">
        <f t="shared" si="15"/>
        <v>2.1559999999999999E-2</v>
      </c>
    </row>
    <row r="139" spans="1:9" ht="28.5">
      <c r="A139" s="111" t="s">
        <v>434</v>
      </c>
      <c r="B139" s="111" t="s">
        <v>519</v>
      </c>
      <c r="C139" s="111" t="s">
        <v>431</v>
      </c>
      <c r="D139" s="112" t="s">
        <v>492</v>
      </c>
      <c r="E139" s="111" t="s">
        <v>520</v>
      </c>
      <c r="F139" s="113">
        <v>0.41099999999999998</v>
      </c>
      <c r="G139" s="114">
        <v>16.809999999999999</v>
      </c>
      <c r="H139" s="114">
        <v>6.9</v>
      </c>
      <c r="I139" s="285">
        <f t="shared" si="15"/>
        <v>6.9089099999999988</v>
      </c>
    </row>
    <row r="140" spans="1:9" ht="28.5">
      <c r="A140" s="111" t="s">
        <v>434</v>
      </c>
      <c r="B140" s="111" t="s">
        <v>521</v>
      </c>
      <c r="C140" s="111" t="s">
        <v>431</v>
      </c>
      <c r="D140" s="112" t="s">
        <v>522</v>
      </c>
      <c r="E140" s="111" t="s">
        <v>520</v>
      </c>
      <c r="F140" s="113">
        <v>0.41099999999999998</v>
      </c>
      <c r="G140" s="114">
        <v>23.1</v>
      </c>
      <c r="H140" s="114">
        <v>9.49</v>
      </c>
      <c r="I140" s="285">
        <f t="shared" si="15"/>
        <v>9.4940999999999995</v>
      </c>
    </row>
    <row r="141" spans="1:9" ht="42.75">
      <c r="A141" s="115" t="s">
        <v>437</v>
      </c>
      <c r="B141" s="115" t="s">
        <v>557</v>
      </c>
      <c r="C141" s="115" t="s">
        <v>431</v>
      </c>
      <c r="D141" s="116" t="s">
        <v>558</v>
      </c>
      <c r="E141" s="115" t="s">
        <v>468</v>
      </c>
      <c r="F141" s="117">
        <v>1.06</v>
      </c>
      <c r="G141" s="118">
        <v>430.55</v>
      </c>
      <c r="H141" s="118">
        <v>456.38</v>
      </c>
      <c r="I141" s="285">
        <f t="shared" si="15"/>
        <v>456.38300000000004</v>
      </c>
    </row>
    <row r="142" spans="1:9">
      <c r="A142" s="104"/>
      <c r="B142" s="104"/>
      <c r="C142" s="104"/>
      <c r="D142" s="104"/>
      <c r="E142" s="104"/>
      <c r="F142" s="105"/>
      <c r="G142" s="106"/>
      <c r="H142" s="107"/>
      <c r="I142" s="285"/>
    </row>
    <row r="143" spans="1:9">
      <c r="A143" s="108"/>
      <c r="B143" s="108"/>
      <c r="C143" s="108"/>
      <c r="D143" s="108"/>
      <c r="E143" s="108"/>
      <c r="F143" s="109"/>
      <c r="G143" s="110"/>
      <c r="H143" s="110"/>
      <c r="I143" s="285"/>
    </row>
    <row r="144" spans="1:9">
      <c r="A144" s="92" t="s">
        <v>619</v>
      </c>
      <c r="B144" s="92"/>
      <c r="C144" s="92"/>
      <c r="D144" s="93" t="s">
        <v>73</v>
      </c>
      <c r="E144" s="94"/>
      <c r="F144" s="95"/>
      <c r="G144" s="92"/>
      <c r="H144" s="96"/>
      <c r="I144" s="285"/>
    </row>
    <row r="145" spans="1:9">
      <c r="A145" s="97" t="s">
        <v>620</v>
      </c>
      <c r="B145" s="97" t="s">
        <v>418</v>
      </c>
      <c r="C145" s="97" t="s">
        <v>419</v>
      </c>
      <c r="D145" s="98" t="s">
        <v>420</v>
      </c>
      <c r="E145" s="97" t="s">
        <v>421</v>
      </c>
      <c r="F145" s="99" t="s">
        <v>422</v>
      </c>
      <c r="G145" s="97" t="s">
        <v>423</v>
      </c>
      <c r="H145" s="97" t="s">
        <v>424</v>
      </c>
      <c r="I145" s="285"/>
    </row>
    <row r="146" spans="1:9" ht="57">
      <c r="A146" s="100" t="s">
        <v>425</v>
      </c>
      <c r="B146" s="100" t="s">
        <v>621</v>
      </c>
      <c r="C146" s="100" t="s">
        <v>622</v>
      </c>
      <c r="D146" s="101" t="s">
        <v>76</v>
      </c>
      <c r="E146" s="100" t="s">
        <v>60</v>
      </c>
      <c r="F146" s="102">
        <v>1</v>
      </c>
      <c r="G146" s="103">
        <v>11.18</v>
      </c>
      <c r="H146" s="103">
        <v>11.18</v>
      </c>
      <c r="I146" s="285">
        <f>SUM(I147:I154)</f>
        <v>11.217962</v>
      </c>
    </row>
    <row r="147" spans="1:9" ht="28.5">
      <c r="A147" s="111" t="s">
        <v>434</v>
      </c>
      <c r="B147" s="111" t="s">
        <v>623</v>
      </c>
      <c r="C147" s="111" t="s">
        <v>431</v>
      </c>
      <c r="D147" s="112" t="s">
        <v>624</v>
      </c>
      <c r="E147" s="111" t="s">
        <v>520</v>
      </c>
      <c r="F147" s="113">
        <v>1.5E-3</v>
      </c>
      <c r="G147" s="114">
        <v>16.82</v>
      </c>
      <c r="H147" s="114">
        <v>0.02</v>
      </c>
      <c r="I147" s="285">
        <f t="shared" ref="I147:I154" si="16">F147*G147</f>
        <v>2.5230000000000002E-2</v>
      </c>
    </row>
    <row r="148" spans="1:9" ht="28.5">
      <c r="A148" s="111" t="s">
        <v>434</v>
      </c>
      <c r="B148" s="111" t="s">
        <v>625</v>
      </c>
      <c r="C148" s="111" t="s">
        <v>431</v>
      </c>
      <c r="D148" s="112" t="s">
        <v>626</v>
      </c>
      <c r="E148" s="111" t="s">
        <v>520</v>
      </c>
      <c r="F148" s="113">
        <v>1.4999999999999999E-2</v>
      </c>
      <c r="G148" s="114">
        <v>21.41</v>
      </c>
      <c r="H148" s="114">
        <v>0.32</v>
      </c>
      <c r="I148" s="285">
        <f t="shared" si="16"/>
        <v>0.32114999999999999</v>
      </c>
    </row>
    <row r="149" spans="1:9" ht="28.5">
      <c r="A149" s="111" t="s">
        <v>434</v>
      </c>
      <c r="B149" s="111" t="s">
        <v>627</v>
      </c>
      <c r="C149" s="111" t="s">
        <v>431</v>
      </c>
      <c r="D149" s="112" t="s">
        <v>628</v>
      </c>
      <c r="E149" s="111" t="s">
        <v>451</v>
      </c>
      <c r="F149" s="113">
        <v>2.2700000000000001E-2</v>
      </c>
      <c r="G149" s="114">
        <v>18.86</v>
      </c>
      <c r="H149" s="114">
        <v>0.42</v>
      </c>
      <c r="I149" s="285">
        <f t="shared" si="16"/>
        <v>0.428122</v>
      </c>
    </row>
    <row r="150" spans="1:9" ht="28.5">
      <c r="A150" s="111" t="s">
        <v>434</v>
      </c>
      <c r="B150" s="111" t="s">
        <v>629</v>
      </c>
      <c r="C150" s="111" t="s">
        <v>431</v>
      </c>
      <c r="D150" s="112" t="s">
        <v>630</v>
      </c>
      <c r="E150" s="111" t="s">
        <v>451</v>
      </c>
      <c r="F150" s="113">
        <v>2.2700000000000001E-2</v>
      </c>
      <c r="G150" s="114">
        <v>23.18</v>
      </c>
      <c r="H150" s="114">
        <v>0.52</v>
      </c>
      <c r="I150" s="285">
        <f t="shared" si="16"/>
        <v>0.52618600000000004</v>
      </c>
    </row>
    <row r="151" spans="1:9" ht="57">
      <c r="A151" s="111" t="s">
        <v>434</v>
      </c>
      <c r="B151" s="111" t="s">
        <v>631</v>
      </c>
      <c r="C151" s="111" t="s">
        <v>431</v>
      </c>
      <c r="D151" s="112" t="s">
        <v>632</v>
      </c>
      <c r="E151" s="111" t="s">
        <v>451</v>
      </c>
      <c r="F151" s="113">
        <v>2.2700000000000001E-2</v>
      </c>
      <c r="G151" s="114">
        <v>9.6199999999999992</v>
      </c>
      <c r="H151" s="114">
        <v>0.21</v>
      </c>
      <c r="I151" s="285">
        <f t="shared" si="16"/>
        <v>0.21837399999999998</v>
      </c>
    </row>
    <row r="152" spans="1:9" ht="42.75">
      <c r="A152" s="115" t="s">
        <v>437</v>
      </c>
      <c r="B152" s="115" t="s">
        <v>633</v>
      </c>
      <c r="C152" s="115" t="s">
        <v>431</v>
      </c>
      <c r="D152" s="116" t="s">
        <v>634</v>
      </c>
      <c r="E152" s="115" t="s">
        <v>8</v>
      </c>
      <c r="F152" s="117">
        <v>5.0999999999999997E-2</v>
      </c>
      <c r="G152" s="118">
        <v>4.05</v>
      </c>
      <c r="H152" s="118">
        <v>0.2</v>
      </c>
      <c r="I152" s="285">
        <f t="shared" si="16"/>
        <v>0.20654999999999998</v>
      </c>
    </row>
    <row r="153" spans="1:9" ht="28.5">
      <c r="A153" s="115" t="s">
        <v>437</v>
      </c>
      <c r="B153" s="115" t="s">
        <v>635</v>
      </c>
      <c r="C153" s="115" t="s">
        <v>431</v>
      </c>
      <c r="D153" s="116" t="s">
        <v>636</v>
      </c>
      <c r="E153" s="115" t="s">
        <v>60</v>
      </c>
      <c r="F153" s="117">
        <v>5.5E-2</v>
      </c>
      <c r="G153" s="118">
        <v>12.77</v>
      </c>
      <c r="H153" s="118">
        <v>0.7</v>
      </c>
      <c r="I153" s="285">
        <f t="shared" si="16"/>
        <v>0.70235000000000003</v>
      </c>
    </row>
    <row r="154" spans="1:9" ht="28.5">
      <c r="A154" s="115" t="s">
        <v>437</v>
      </c>
      <c r="B154" s="115" t="s">
        <v>637</v>
      </c>
      <c r="C154" s="115" t="s">
        <v>431</v>
      </c>
      <c r="D154" s="116" t="s">
        <v>638</v>
      </c>
      <c r="E154" s="115" t="s">
        <v>60</v>
      </c>
      <c r="F154" s="117">
        <v>1</v>
      </c>
      <c r="G154" s="118">
        <v>8.7899999999999991</v>
      </c>
      <c r="H154" s="118">
        <v>8.7899999999999991</v>
      </c>
      <c r="I154" s="285">
        <f t="shared" si="16"/>
        <v>8.7899999999999991</v>
      </c>
    </row>
    <row r="155" spans="1:9">
      <c r="A155" s="104"/>
      <c r="B155" s="104"/>
      <c r="C155" s="104"/>
      <c r="D155" s="104"/>
      <c r="E155" s="104"/>
      <c r="F155" s="105"/>
      <c r="G155" s="106"/>
      <c r="H155" s="107"/>
      <c r="I155" s="285"/>
    </row>
    <row r="156" spans="1:9">
      <c r="A156" s="108"/>
      <c r="B156" s="108"/>
      <c r="C156" s="108"/>
      <c r="D156" s="108"/>
      <c r="E156" s="108"/>
      <c r="F156" s="109"/>
      <c r="G156" s="110"/>
      <c r="H156" s="110"/>
      <c r="I156" s="285"/>
    </row>
    <row r="157" spans="1:9">
      <c r="A157" s="97" t="s">
        <v>639</v>
      </c>
      <c r="B157" s="97" t="s">
        <v>418</v>
      </c>
      <c r="C157" s="97" t="s">
        <v>419</v>
      </c>
      <c r="D157" s="98" t="s">
        <v>420</v>
      </c>
      <c r="E157" s="97" t="s">
        <v>421</v>
      </c>
      <c r="F157" s="99" t="s">
        <v>422</v>
      </c>
      <c r="G157" s="97" t="s">
        <v>423</v>
      </c>
      <c r="H157" s="97" t="s">
        <v>424</v>
      </c>
      <c r="I157" s="285"/>
    </row>
    <row r="158" spans="1:9" ht="57">
      <c r="A158" s="100" t="s">
        <v>425</v>
      </c>
      <c r="B158" s="100" t="s">
        <v>621</v>
      </c>
      <c r="C158" s="100" t="s">
        <v>622</v>
      </c>
      <c r="D158" s="101" t="s">
        <v>78</v>
      </c>
      <c r="E158" s="100" t="s">
        <v>60</v>
      </c>
      <c r="F158" s="102">
        <v>1</v>
      </c>
      <c r="G158" s="103">
        <v>11.18</v>
      </c>
      <c r="H158" s="103">
        <v>11.18</v>
      </c>
      <c r="I158" s="285">
        <f>SUM(I159:I166)</f>
        <v>11.217962</v>
      </c>
    </row>
    <row r="159" spans="1:9" ht="28.5">
      <c r="A159" s="111" t="s">
        <v>434</v>
      </c>
      <c r="B159" s="111" t="s">
        <v>623</v>
      </c>
      <c r="C159" s="111" t="s">
        <v>431</v>
      </c>
      <c r="D159" s="112" t="s">
        <v>624</v>
      </c>
      <c r="E159" s="111" t="s">
        <v>520</v>
      </c>
      <c r="F159" s="113">
        <v>1.5E-3</v>
      </c>
      <c r="G159" s="114">
        <v>16.82</v>
      </c>
      <c r="H159" s="114">
        <v>0.02</v>
      </c>
      <c r="I159" s="285">
        <f t="shared" ref="I159:I166" si="17">F159*G159</f>
        <v>2.5230000000000002E-2</v>
      </c>
    </row>
    <row r="160" spans="1:9" ht="28.5">
      <c r="A160" s="111" t="s">
        <v>434</v>
      </c>
      <c r="B160" s="111" t="s">
        <v>625</v>
      </c>
      <c r="C160" s="111" t="s">
        <v>431</v>
      </c>
      <c r="D160" s="112" t="s">
        <v>626</v>
      </c>
      <c r="E160" s="111" t="s">
        <v>520</v>
      </c>
      <c r="F160" s="113">
        <v>1.4999999999999999E-2</v>
      </c>
      <c r="G160" s="114">
        <v>21.41</v>
      </c>
      <c r="H160" s="114">
        <v>0.32</v>
      </c>
      <c r="I160" s="285">
        <f t="shared" si="17"/>
        <v>0.32114999999999999</v>
      </c>
    </row>
    <row r="161" spans="1:9" ht="28.5">
      <c r="A161" s="111" t="s">
        <v>434</v>
      </c>
      <c r="B161" s="111" t="s">
        <v>627</v>
      </c>
      <c r="C161" s="111" t="s">
        <v>431</v>
      </c>
      <c r="D161" s="112" t="s">
        <v>628</v>
      </c>
      <c r="E161" s="111" t="s">
        <v>451</v>
      </c>
      <c r="F161" s="113">
        <v>2.2700000000000001E-2</v>
      </c>
      <c r="G161" s="114">
        <v>18.86</v>
      </c>
      <c r="H161" s="114">
        <v>0.42</v>
      </c>
      <c r="I161" s="285">
        <f t="shared" si="17"/>
        <v>0.428122</v>
      </c>
    </row>
    <row r="162" spans="1:9" ht="28.5">
      <c r="A162" s="111" t="s">
        <v>434</v>
      </c>
      <c r="B162" s="111" t="s">
        <v>629</v>
      </c>
      <c r="C162" s="111" t="s">
        <v>431</v>
      </c>
      <c r="D162" s="112" t="s">
        <v>630</v>
      </c>
      <c r="E162" s="111" t="s">
        <v>451</v>
      </c>
      <c r="F162" s="113">
        <v>2.2700000000000001E-2</v>
      </c>
      <c r="G162" s="114">
        <v>23.18</v>
      </c>
      <c r="H162" s="114">
        <v>0.52</v>
      </c>
      <c r="I162" s="285">
        <f t="shared" si="17"/>
        <v>0.52618600000000004</v>
      </c>
    </row>
    <row r="163" spans="1:9" ht="57">
      <c r="A163" s="111" t="s">
        <v>434</v>
      </c>
      <c r="B163" s="111" t="s">
        <v>631</v>
      </c>
      <c r="C163" s="111" t="s">
        <v>431</v>
      </c>
      <c r="D163" s="112" t="s">
        <v>632</v>
      </c>
      <c r="E163" s="111" t="s">
        <v>451</v>
      </c>
      <c r="F163" s="113">
        <v>2.2700000000000001E-2</v>
      </c>
      <c r="G163" s="114">
        <v>9.6199999999999992</v>
      </c>
      <c r="H163" s="114">
        <v>0.21</v>
      </c>
      <c r="I163" s="285">
        <f t="shared" si="17"/>
        <v>0.21837399999999998</v>
      </c>
    </row>
    <row r="164" spans="1:9" ht="42.75">
      <c r="A164" s="115" t="s">
        <v>437</v>
      </c>
      <c r="B164" s="115" t="s">
        <v>633</v>
      </c>
      <c r="C164" s="115" t="s">
        <v>431</v>
      </c>
      <c r="D164" s="116" t="s">
        <v>634</v>
      </c>
      <c r="E164" s="115" t="s">
        <v>8</v>
      </c>
      <c r="F164" s="117">
        <v>5.0999999999999997E-2</v>
      </c>
      <c r="G164" s="118">
        <v>4.05</v>
      </c>
      <c r="H164" s="118">
        <v>0.2</v>
      </c>
      <c r="I164" s="285">
        <f t="shared" si="17"/>
        <v>0.20654999999999998</v>
      </c>
    </row>
    <row r="165" spans="1:9" ht="28.5">
      <c r="A165" s="115" t="s">
        <v>437</v>
      </c>
      <c r="B165" s="115" t="s">
        <v>635</v>
      </c>
      <c r="C165" s="115" t="s">
        <v>431</v>
      </c>
      <c r="D165" s="116" t="s">
        <v>636</v>
      </c>
      <c r="E165" s="115" t="s">
        <v>60</v>
      </c>
      <c r="F165" s="117">
        <v>5.5E-2</v>
      </c>
      <c r="G165" s="118">
        <v>12.77</v>
      </c>
      <c r="H165" s="118">
        <v>0.7</v>
      </c>
      <c r="I165" s="285">
        <f t="shared" si="17"/>
        <v>0.70235000000000003</v>
      </c>
    </row>
    <row r="166" spans="1:9" ht="28.5">
      <c r="A166" s="115" t="s">
        <v>437</v>
      </c>
      <c r="B166" s="115" t="s">
        <v>637</v>
      </c>
      <c r="C166" s="115" t="s">
        <v>431</v>
      </c>
      <c r="D166" s="116" t="s">
        <v>638</v>
      </c>
      <c r="E166" s="115" t="s">
        <v>60</v>
      </c>
      <c r="F166" s="117">
        <v>1</v>
      </c>
      <c r="G166" s="118">
        <v>8.7899999999999991</v>
      </c>
      <c r="H166" s="118">
        <v>8.7899999999999991</v>
      </c>
      <c r="I166" s="285">
        <f t="shared" si="17"/>
        <v>8.7899999999999991</v>
      </c>
    </row>
    <row r="167" spans="1:9">
      <c r="A167" s="104"/>
      <c r="B167" s="104"/>
      <c r="C167" s="104"/>
      <c r="D167" s="104"/>
      <c r="E167" s="104"/>
      <c r="F167" s="105"/>
      <c r="G167" s="106"/>
      <c r="H167" s="107"/>
      <c r="I167" s="285"/>
    </row>
    <row r="168" spans="1:9">
      <c r="A168" s="108"/>
      <c r="B168" s="108"/>
      <c r="C168" s="108"/>
      <c r="D168" s="108"/>
      <c r="E168" s="108"/>
      <c r="F168" s="109"/>
      <c r="G168" s="110"/>
      <c r="H168" s="110"/>
      <c r="I168" s="285"/>
    </row>
    <row r="169" spans="1:9">
      <c r="A169" s="92" t="s">
        <v>640</v>
      </c>
      <c r="B169" s="92"/>
      <c r="C169" s="92"/>
      <c r="D169" s="93" t="s">
        <v>81</v>
      </c>
      <c r="E169" s="94"/>
      <c r="F169" s="95"/>
      <c r="G169" s="92"/>
      <c r="H169" s="96"/>
      <c r="I169" s="285"/>
    </row>
    <row r="170" spans="1:9">
      <c r="A170" s="92" t="s">
        <v>641</v>
      </c>
      <c r="B170" s="92"/>
      <c r="C170" s="92"/>
      <c r="D170" s="93" t="s">
        <v>83</v>
      </c>
      <c r="E170" s="94"/>
      <c r="F170" s="95"/>
      <c r="G170" s="92"/>
      <c r="H170" s="96"/>
      <c r="I170" s="285"/>
    </row>
    <row r="171" spans="1:9">
      <c r="A171" s="97" t="s">
        <v>642</v>
      </c>
      <c r="B171" s="97" t="s">
        <v>418</v>
      </c>
      <c r="C171" s="97" t="s">
        <v>419</v>
      </c>
      <c r="D171" s="98" t="s">
        <v>420</v>
      </c>
      <c r="E171" s="97" t="s">
        <v>421</v>
      </c>
      <c r="F171" s="99" t="s">
        <v>422</v>
      </c>
      <c r="G171" s="97" t="s">
        <v>423</v>
      </c>
      <c r="H171" s="97" t="s">
        <v>424</v>
      </c>
      <c r="I171" s="285"/>
    </row>
    <row r="172" spans="1:9" ht="28.5">
      <c r="A172" s="100" t="s">
        <v>425</v>
      </c>
      <c r="B172" s="100" t="s">
        <v>643</v>
      </c>
      <c r="C172" s="100" t="s">
        <v>431</v>
      </c>
      <c r="D172" s="101" t="s">
        <v>85</v>
      </c>
      <c r="E172" s="100" t="s">
        <v>451</v>
      </c>
      <c r="F172" s="102">
        <v>1</v>
      </c>
      <c r="G172" s="103">
        <v>2.74</v>
      </c>
      <c r="H172" s="103">
        <v>2.74</v>
      </c>
      <c r="I172" s="285">
        <f>SUM(I173:I174)</f>
        <v>2.7501729999999998</v>
      </c>
    </row>
    <row r="173" spans="1:9" ht="28.5">
      <c r="A173" s="111" t="s">
        <v>434</v>
      </c>
      <c r="B173" s="111" t="s">
        <v>519</v>
      </c>
      <c r="C173" s="111" t="s">
        <v>431</v>
      </c>
      <c r="D173" s="112" t="s">
        <v>492</v>
      </c>
      <c r="E173" s="111" t="s">
        <v>520</v>
      </c>
      <c r="F173" s="113">
        <v>9.7100000000000006E-2</v>
      </c>
      <c r="G173" s="114">
        <v>16.809999999999999</v>
      </c>
      <c r="H173" s="114">
        <v>1.63</v>
      </c>
      <c r="I173" s="285">
        <f t="shared" ref="I173:I185" si="18">F173*G173</f>
        <v>1.6322509999999999</v>
      </c>
    </row>
    <row r="174" spans="1:9" ht="28.5">
      <c r="A174" s="111" t="s">
        <v>434</v>
      </c>
      <c r="B174" s="111" t="s">
        <v>644</v>
      </c>
      <c r="C174" s="111" t="s">
        <v>431</v>
      </c>
      <c r="D174" s="112" t="s">
        <v>645</v>
      </c>
      <c r="E174" s="111" t="s">
        <v>520</v>
      </c>
      <c r="F174" s="113">
        <v>4.9399999999999999E-2</v>
      </c>
      <c r="G174" s="114">
        <v>22.63</v>
      </c>
      <c r="H174" s="114">
        <v>1.1100000000000001</v>
      </c>
      <c r="I174" s="285">
        <f t="shared" si="18"/>
        <v>1.1179219999999999</v>
      </c>
    </row>
    <row r="175" spans="1:9">
      <c r="A175" s="104"/>
      <c r="B175" s="104"/>
      <c r="C175" s="104"/>
      <c r="D175" s="104"/>
      <c r="E175" s="104"/>
      <c r="F175" s="105"/>
      <c r="G175" s="106"/>
      <c r="H175" s="107"/>
      <c r="I175" s="285"/>
    </row>
    <row r="176" spans="1:9">
      <c r="A176" s="108"/>
      <c r="B176" s="108"/>
      <c r="C176" s="108"/>
      <c r="D176" s="108"/>
      <c r="E176" s="108"/>
      <c r="F176" s="109"/>
      <c r="G176" s="110"/>
      <c r="H176" s="110"/>
      <c r="I176" s="285"/>
    </row>
    <row r="177" spans="1:18">
      <c r="A177" s="92" t="s">
        <v>646</v>
      </c>
      <c r="B177" s="92"/>
      <c r="C177" s="92"/>
      <c r="D177" s="93" t="s">
        <v>87</v>
      </c>
      <c r="E177" s="94"/>
      <c r="F177" s="95"/>
      <c r="G177" s="92"/>
      <c r="H177" s="96"/>
      <c r="I177" s="285"/>
    </row>
    <row r="178" spans="1:18">
      <c r="A178" s="97" t="s">
        <v>647</v>
      </c>
      <c r="B178" s="97" t="s">
        <v>418</v>
      </c>
      <c r="C178" s="97" t="s">
        <v>419</v>
      </c>
      <c r="D178" s="98" t="s">
        <v>420</v>
      </c>
      <c r="E178" s="97" t="s">
        <v>421</v>
      </c>
      <c r="F178" s="99" t="s">
        <v>422</v>
      </c>
      <c r="G178" s="97" t="s">
        <v>423</v>
      </c>
      <c r="H178" s="97" t="s">
        <v>424</v>
      </c>
      <c r="I178" s="285"/>
    </row>
    <row r="179" spans="1:18" ht="42.75">
      <c r="A179" s="100" t="s">
        <v>425</v>
      </c>
      <c r="B179" s="100" t="s">
        <v>648</v>
      </c>
      <c r="C179" s="100" t="s">
        <v>431</v>
      </c>
      <c r="D179" s="101" t="s">
        <v>89</v>
      </c>
      <c r="E179" s="100" t="s">
        <v>451</v>
      </c>
      <c r="F179" s="102">
        <v>1</v>
      </c>
      <c r="G179" s="103">
        <v>47.41</v>
      </c>
      <c r="H179" s="103">
        <v>47.41</v>
      </c>
      <c r="I179" s="285">
        <f>SUM(I180:I185)</f>
        <v>47.427029999999995</v>
      </c>
    </row>
    <row r="180" spans="1:18" ht="42.75">
      <c r="A180" s="111" t="s">
        <v>434</v>
      </c>
      <c r="B180" s="111" t="s">
        <v>649</v>
      </c>
      <c r="C180" s="111" t="s">
        <v>431</v>
      </c>
      <c r="D180" s="112" t="s">
        <v>650</v>
      </c>
      <c r="E180" s="111" t="s">
        <v>518</v>
      </c>
      <c r="F180" s="113">
        <v>9.4000000000000004E-3</v>
      </c>
      <c r="G180" s="114">
        <v>21.74</v>
      </c>
      <c r="H180" s="114">
        <v>0.2</v>
      </c>
      <c r="I180" s="285">
        <f t="shared" si="18"/>
        <v>0.20435599999999998</v>
      </c>
    </row>
    <row r="181" spans="1:18" ht="42.75">
      <c r="A181" s="111" t="s">
        <v>434</v>
      </c>
      <c r="B181" s="111" t="s">
        <v>651</v>
      </c>
      <c r="C181" s="111" t="s">
        <v>431</v>
      </c>
      <c r="D181" s="112" t="s">
        <v>652</v>
      </c>
      <c r="E181" s="111" t="s">
        <v>515</v>
      </c>
      <c r="F181" s="113">
        <v>6.7999999999999996E-3</v>
      </c>
      <c r="G181" s="114">
        <v>22.78</v>
      </c>
      <c r="H181" s="114">
        <v>0.15</v>
      </c>
      <c r="I181" s="285">
        <f t="shared" si="18"/>
        <v>0.15490399999999999</v>
      </c>
    </row>
    <row r="182" spans="1:18" ht="28.5">
      <c r="A182" s="111" t="s">
        <v>434</v>
      </c>
      <c r="B182" s="111" t="s">
        <v>519</v>
      </c>
      <c r="C182" s="111" t="s">
        <v>431</v>
      </c>
      <c r="D182" s="112" t="s">
        <v>492</v>
      </c>
      <c r="E182" s="111" t="s">
        <v>520</v>
      </c>
      <c r="F182" s="113">
        <v>0.106</v>
      </c>
      <c r="G182" s="114">
        <v>16.809999999999999</v>
      </c>
      <c r="H182" s="114">
        <v>1.78</v>
      </c>
      <c r="I182" s="285">
        <f t="shared" si="18"/>
        <v>1.7818599999999998</v>
      </c>
    </row>
    <row r="183" spans="1:18" ht="28.5">
      <c r="A183" s="111" t="s">
        <v>434</v>
      </c>
      <c r="B183" s="111" t="s">
        <v>625</v>
      </c>
      <c r="C183" s="111" t="s">
        <v>431</v>
      </c>
      <c r="D183" s="112" t="s">
        <v>626</v>
      </c>
      <c r="E183" s="111" t="s">
        <v>520</v>
      </c>
      <c r="F183" s="113">
        <v>0.21299999999999999</v>
      </c>
      <c r="G183" s="114">
        <v>21.41</v>
      </c>
      <c r="H183" s="114">
        <v>4.5599999999999996</v>
      </c>
      <c r="I183" s="285">
        <f t="shared" si="18"/>
        <v>4.5603299999999996</v>
      </c>
    </row>
    <row r="184" spans="1:18" ht="28.5">
      <c r="A184" s="115" t="s">
        <v>437</v>
      </c>
      <c r="B184" s="115" t="s">
        <v>653</v>
      </c>
      <c r="C184" s="115" t="s">
        <v>431</v>
      </c>
      <c r="D184" s="116" t="s">
        <v>654</v>
      </c>
      <c r="E184" s="115" t="s">
        <v>655</v>
      </c>
      <c r="F184" s="117">
        <v>7.0000000000000001E-3</v>
      </c>
      <c r="G184" s="118">
        <v>240.75</v>
      </c>
      <c r="H184" s="118">
        <v>1.68</v>
      </c>
      <c r="I184" s="285">
        <f t="shared" si="18"/>
        <v>1.6852500000000001</v>
      </c>
    </row>
    <row r="185" spans="1:18" ht="28.5">
      <c r="A185" s="115" t="s">
        <v>437</v>
      </c>
      <c r="B185" s="115" t="s">
        <v>656</v>
      </c>
      <c r="C185" s="115" t="s">
        <v>431</v>
      </c>
      <c r="D185" s="116" t="s">
        <v>657</v>
      </c>
      <c r="E185" s="115" t="s">
        <v>60</v>
      </c>
      <c r="F185" s="117">
        <v>4.3330000000000002</v>
      </c>
      <c r="G185" s="118">
        <v>9.01</v>
      </c>
      <c r="H185" s="118">
        <v>39.04</v>
      </c>
      <c r="I185" s="285">
        <f t="shared" si="18"/>
        <v>39.040329999999997</v>
      </c>
    </row>
    <row r="186" spans="1:18">
      <c r="A186" s="104"/>
      <c r="B186" s="104"/>
      <c r="C186" s="104"/>
      <c r="D186" s="104"/>
      <c r="E186" s="104"/>
      <c r="F186" s="105"/>
      <c r="G186" s="106"/>
      <c r="H186" s="107"/>
      <c r="I186" s="285"/>
    </row>
    <row r="187" spans="1:18">
      <c r="A187" s="108"/>
      <c r="B187" s="108"/>
      <c r="C187" s="108"/>
      <c r="D187" s="108"/>
      <c r="E187" s="108"/>
      <c r="F187" s="109"/>
      <c r="G187" s="110"/>
      <c r="H187" s="110"/>
      <c r="I187" s="285"/>
    </row>
    <row r="188" spans="1:18">
      <c r="A188" s="97" t="s">
        <v>658</v>
      </c>
      <c r="B188" s="97" t="s">
        <v>418</v>
      </c>
      <c r="C188" s="97" t="s">
        <v>419</v>
      </c>
      <c r="D188" s="98" t="s">
        <v>420</v>
      </c>
      <c r="E188" s="97" t="s">
        <v>421</v>
      </c>
      <c r="F188" s="99" t="s">
        <v>422</v>
      </c>
      <c r="G188" s="97" t="s">
        <v>423</v>
      </c>
      <c r="H188" s="97" t="s">
        <v>424</v>
      </c>
      <c r="I188" s="285"/>
    </row>
    <row r="189" spans="1:18" ht="28.5">
      <c r="A189" s="100" t="s">
        <v>425</v>
      </c>
      <c r="B189" s="100" t="s">
        <v>659</v>
      </c>
      <c r="C189" s="100" t="s">
        <v>427</v>
      </c>
      <c r="D189" s="101" t="s">
        <v>92</v>
      </c>
      <c r="E189" s="100" t="s">
        <v>451</v>
      </c>
      <c r="F189" s="102">
        <v>1</v>
      </c>
      <c r="G189" s="103">
        <v>30.32</v>
      </c>
      <c r="H189" s="103">
        <v>30.32</v>
      </c>
      <c r="I189" s="285">
        <f>SUM(I190:I195)</f>
        <v>30.361300000000004</v>
      </c>
      <c r="J189" s="100" t="s">
        <v>425</v>
      </c>
      <c r="K189" s="100" t="s">
        <v>659</v>
      </c>
      <c r="L189" s="100" t="s">
        <v>427</v>
      </c>
      <c r="M189" s="101" t="s">
        <v>92</v>
      </c>
      <c r="N189" s="100" t="s">
        <v>451</v>
      </c>
      <c r="O189" s="102">
        <v>1</v>
      </c>
      <c r="P189" s="119" t="s">
        <v>660</v>
      </c>
      <c r="Q189" s="119" t="s">
        <v>660</v>
      </c>
      <c r="R189" s="285">
        <f>SUM(R190:R195)</f>
        <v>32.563600000000001</v>
      </c>
    </row>
    <row r="190" spans="1:18" ht="28.5">
      <c r="A190" s="111" t="s">
        <v>434</v>
      </c>
      <c r="B190" s="111" t="s">
        <v>661</v>
      </c>
      <c r="C190" s="111" t="s">
        <v>427</v>
      </c>
      <c r="D190" s="112" t="s">
        <v>662</v>
      </c>
      <c r="E190" s="111" t="s">
        <v>1576</v>
      </c>
      <c r="F190" s="113">
        <v>0.08</v>
      </c>
      <c r="G190" s="114">
        <v>19.11</v>
      </c>
      <c r="H190" s="114">
        <v>1.52</v>
      </c>
      <c r="I190" s="285">
        <f t="shared" ref="I190:I195" si="19">F190*G190</f>
        <v>1.5287999999999999</v>
      </c>
      <c r="J190" s="111" t="s">
        <v>434</v>
      </c>
      <c r="K190" s="111" t="s">
        <v>661</v>
      </c>
      <c r="L190" s="111" t="s">
        <v>427</v>
      </c>
      <c r="M190" s="112" t="s">
        <v>662</v>
      </c>
      <c r="N190" s="111" t="s">
        <v>464</v>
      </c>
      <c r="O190" s="113">
        <v>0.08</v>
      </c>
      <c r="P190" s="121" t="s">
        <v>663</v>
      </c>
      <c r="Q190" s="121">
        <v>1.52</v>
      </c>
      <c r="R190" s="285">
        <f t="shared" ref="R190:R195" si="20">O190*P190</f>
        <v>1.5287999999999999</v>
      </c>
    </row>
    <row r="191" spans="1:18" ht="28.5">
      <c r="A191" s="111" t="s">
        <v>434</v>
      </c>
      <c r="B191" s="111" t="s">
        <v>665</v>
      </c>
      <c r="C191" s="111" t="s">
        <v>427</v>
      </c>
      <c r="D191" s="112" t="s">
        <v>666</v>
      </c>
      <c r="E191" s="111" t="s">
        <v>1576</v>
      </c>
      <c r="F191" s="113">
        <v>0.8</v>
      </c>
      <c r="G191" s="114">
        <v>24.16</v>
      </c>
      <c r="H191" s="114">
        <v>19.32</v>
      </c>
      <c r="I191" s="285">
        <f t="shared" si="19"/>
        <v>19.328000000000003</v>
      </c>
      <c r="J191" s="111" t="s">
        <v>434</v>
      </c>
      <c r="K191" s="111" t="s">
        <v>665</v>
      </c>
      <c r="L191" s="111" t="s">
        <v>427</v>
      </c>
      <c r="M191" s="112" t="s">
        <v>666</v>
      </c>
      <c r="N191" s="111" t="s">
        <v>464</v>
      </c>
      <c r="O191" s="113">
        <v>0.8</v>
      </c>
      <c r="P191" s="121" t="s">
        <v>667</v>
      </c>
      <c r="Q191" s="121">
        <v>19.32</v>
      </c>
      <c r="R191" s="285">
        <f t="shared" si="20"/>
        <v>19.328000000000003</v>
      </c>
    </row>
    <row r="192" spans="1:18" ht="28.5">
      <c r="A192" s="287" t="s">
        <v>437</v>
      </c>
      <c r="B192" s="287" t="s">
        <v>683</v>
      </c>
      <c r="C192" s="287" t="s">
        <v>427</v>
      </c>
      <c r="D192" s="288" t="s">
        <v>684</v>
      </c>
      <c r="E192" s="287" t="s">
        <v>671</v>
      </c>
      <c r="F192" s="289">
        <v>0.16</v>
      </c>
      <c r="G192" s="290">
        <v>30.17</v>
      </c>
      <c r="H192" s="118">
        <v>4.82</v>
      </c>
      <c r="I192" s="285">
        <f t="shared" si="19"/>
        <v>4.8272000000000004</v>
      </c>
      <c r="J192" s="271" t="s">
        <v>437</v>
      </c>
      <c r="K192" s="271" t="s">
        <v>669</v>
      </c>
      <c r="L192" s="271" t="s">
        <v>427</v>
      </c>
      <c r="M192" s="272" t="s">
        <v>670</v>
      </c>
      <c r="N192" s="271" t="s">
        <v>671</v>
      </c>
      <c r="O192" s="273">
        <v>0.12</v>
      </c>
      <c r="P192" s="270" t="s">
        <v>672</v>
      </c>
      <c r="Q192" s="120">
        <v>4.82</v>
      </c>
      <c r="R192" s="285">
        <f t="shared" si="20"/>
        <v>3.6204000000000001</v>
      </c>
    </row>
    <row r="193" spans="1:18" ht="28.5">
      <c r="A193" s="287" t="s">
        <v>437</v>
      </c>
      <c r="B193" s="287" t="s">
        <v>679</v>
      </c>
      <c r="C193" s="287" t="s">
        <v>427</v>
      </c>
      <c r="D193" s="288" t="s">
        <v>680</v>
      </c>
      <c r="E193" s="287" t="s">
        <v>671</v>
      </c>
      <c r="F193" s="289">
        <v>0.03</v>
      </c>
      <c r="G193" s="290">
        <v>11.47</v>
      </c>
      <c r="H193" s="118">
        <v>0.34</v>
      </c>
      <c r="I193" s="285">
        <f t="shared" si="19"/>
        <v>0.34410000000000002</v>
      </c>
      <c r="J193" s="271" t="s">
        <v>437</v>
      </c>
      <c r="K193" s="271" t="s">
        <v>674</v>
      </c>
      <c r="L193" s="271" t="s">
        <v>427</v>
      </c>
      <c r="M193" s="272" t="s">
        <v>675</v>
      </c>
      <c r="N193" s="271" t="s">
        <v>676</v>
      </c>
      <c r="O193" s="273">
        <v>0.3</v>
      </c>
      <c r="P193" s="270" t="s">
        <v>677</v>
      </c>
      <c r="Q193" s="120">
        <v>0.34</v>
      </c>
      <c r="R193" s="285">
        <f t="shared" si="20"/>
        <v>3.4410000000000003</v>
      </c>
    </row>
    <row r="194" spans="1:18" ht="28.5">
      <c r="A194" s="287" t="s">
        <v>437</v>
      </c>
      <c r="B194" s="287" t="s">
        <v>674</v>
      </c>
      <c r="C194" s="287" t="s">
        <v>427</v>
      </c>
      <c r="D194" s="288" t="s">
        <v>675</v>
      </c>
      <c r="E194" s="287" t="s">
        <v>676</v>
      </c>
      <c r="F194" s="289">
        <v>0.3</v>
      </c>
      <c r="G194" s="290">
        <v>3.06</v>
      </c>
      <c r="H194" s="118">
        <v>0.91</v>
      </c>
      <c r="I194" s="285">
        <f t="shared" si="19"/>
        <v>0.91799999999999993</v>
      </c>
      <c r="J194" s="271" t="s">
        <v>437</v>
      </c>
      <c r="K194" s="271" t="s">
        <v>679</v>
      </c>
      <c r="L194" s="271" t="s">
        <v>427</v>
      </c>
      <c r="M194" s="272" t="s">
        <v>680</v>
      </c>
      <c r="N194" s="271" t="s">
        <v>671</v>
      </c>
      <c r="O194" s="273">
        <v>0.03</v>
      </c>
      <c r="P194" s="270" t="s">
        <v>681</v>
      </c>
      <c r="Q194" s="120">
        <v>0.91</v>
      </c>
      <c r="R194" s="285">
        <f t="shared" si="20"/>
        <v>9.1799999999999993E-2</v>
      </c>
    </row>
    <row r="195" spans="1:18" ht="28.5">
      <c r="A195" s="287" t="s">
        <v>437</v>
      </c>
      <c r="B195" s="287" t="s">
        <v>669</v>
      </c>
      <c r="C195" s="287" t="s">
        <v>427</v>
      </c>
      <c r="D195" s="288" t="s">
        <v>670</v>
      </c>
      <c r="E195" s="287" t="s">
        <v>671</v>
      </c>
      <c r="F195" s="289">
        <v>0.12</v>
      </c>
      <c r="G195" s="290">
        <v>28.46</v>
      </c>
      <c r="H195" s="118">
        <v>3.41</v>
      </c>
      <c r="I195" s="285">
        <f t="shared" si="19"/>
        <v>3.4152</v>
      </c>
      <c r="J195" s="271" t="s">
        <v>437</v>
      </c>
      <c r="K195" s="271" t="s">
        <v>683</v>
      </c>
      <c r="L195" s="271" t="s">
        <v>427</v>
      </c>
      <c r="M195" s="272" t="s">
        <v>684</v>
      </c>
      <c r="N195" s="271" t="s">
        <v>671</v>
      </c>
      <c r="O195" s="273">
        <v>0.16</v>
      </c>
      <c r="P195" s="270" t="s">
        <v>685</v>
      </c>
      <c r="Q195" s="120">
        <v>3.41</v>
      </c>
      <c r="R195" s="285">
        <f t="shared" si="20"/>
        <v>4.5536000000000003</v>
      </c>
    </row>
    <row r="196" spans="1:18">
      <c r="A196" s="104"/>
      <c r="B196" s="104"/>
      <c r="C196" s="104"/>
      <c r="D196" s="104"/>
      <c r="E196" s="104"/>
      <c r="F196" s="105"/>
      <c r="G196" s="106"/>
      <c r="H196" s="107"/>
      <c r="I196" s="285"/>
    </row>
    <row r="197" spans="1:18">
      <c r="A197" s="108"/>
      <c r="B197" s="108"/>
      <c r="C197" s="108"/>
      <c r="D197" s="108"/>
      <c r="E197" s="108"/>
      <c r="F197" s="109"/>
      <c r="G197" s="110"/>
      <c r="H197" s="110"/>
      <c r="I197" s="285"/>
    </row>
    <row r="198" spans="1:18">
      <c r="A198" s="92" t="s">
        <v>687</v>
      </c>
      <c r="B198" s="92"/>
      <c r="C198" s="92"/>
      <c r="D198" s="93" t="s">
        <v>94</v>
      </c>
      <c r="E198" s="94"/>
      <c r="F198" s="95"/>
      <c r="G198" s="92"/>
      <c r="H198" s="96"/>
      <c r="I198" s="285"/>
    </row>
    <row r="199" spans="1:18">
      <c r="A199" s="97" t="s">
        <v>688</v>
      </c>
      <c r="B199" s="97" t="s">
        <v>418</v>
      </c>
      <c r="C199" s="97" t="s">
        <v>419</v>
      </c>
      <c r="D199" s="98" t="s">
        <v>420</v>
      </c>
      <c r="E199" s="97" t="s">
        <v>421</v>
      </c>
      <c r="F199" s="99" t="s">
        <v>422</v>
      </c>
      <c r="G199" s="97" t="s">
        <v>423</v>
      </c>
      <c r="H199" s="97" t="s">
        <v>424</v>
      </c>
      <c r="I199" s="285"/>
    </row>
    <row r="200" spans="1:18" ht="63.75" customHeight="1">
      <c r="A200" s="100" t="s">
        <v>425</v>
      </c>
      <c r="B200" s="100" t="s">
        <v>689</v>
      </c>
      <c r="C200" s="100" t="s">
        <v>427</v>
      </c>
      <c r="D200" s="101" t="s">
        <v>97</v>
      </c>
      <c r="E200" s="100" t="s">
        <v>451</v>
      </c>
      <c r="F200" s="102">
        <v>1</v>
      </c>
      <c r="G200" s="119">
        <v>82.71</v>
      </c>
      <c r="H200" s="119">
        <v>82.71</v>
      </c>
      <c r="I200" s="285">
        <f>SUM(I201:I205)</f>
        <v>82.733199999999997</v>
      </c>
      <c r="J200" s="100" t="s">
        <v>425</v>
      </c>
      <c r="K200" s="100" t="s">
        <v>689</v>
      </c>
      <c r="L200" s="100" t="s">
        <v>427</v>
      </c>
      <c r="M200" s="101" t="s">
        <v>97</v>
      </c>
      <c r="N200" s="100" t="s">
        <v>451</v>
      </c>
      <c r="O200" s="102">
        <v>1</v>
      </c>
      <c r="P200" s="119" t="s">
        <v>690</v>
      </c>
      <c r="Q200" s="119" t="s">
        <v>690</v>
      </c>
      <c r="R200" s="285">
        <f>SUM(R201:R205)</f>
        <v>54.722900000000003</v>
      </c>
    </row>
    <row r="201" spans="1:18" ht="28.5">
      <c r="A201" s="283" t="s">
        <v>434</v>
      </c>
      <c r="B201" s="283" t="s">
        <v>491</v>
      </c>
      <c r="C201" s="283" t="s">
        <v>427</v>
      </c>
      <c r="D201" s="284" t="s">
        <v>492</v>
      </c>
      <c r="E201" s="111" t="s">
        <v>1576</v>
      </c>
      <c r="F201" s="113">
        <v>0.8</v>
      </c>
      <c r="G201" s="121">
        <v>16.809999999999999</v>
      </c>
      <c r="H201" s="121">
        <v>13.44</v>
      </c>
      <c r="I201" s="285">
        <f t="shared" ref="I201:I205" si="21">F201*G201</f>
        <v>13.448</v>
      </c>
      <c r="J201" s="281" t="s">
        <v>434</v>
      </c>
      <c r="K201" s="281" t="s">
        <v>691</v>
      </c>
      <c r="L201" s="281" t="s">
        <v>427</v>
      </c>
      <c r="M201" s="282" t="s">
        <v>692</v>
      </c>
      <c r="N201" s="111" t="s">
        <v>464</v>
      </c>
      <c r="O201" s="113">
        <v>0.4</v>
      </c>
      <c r="P201" s="121" t="s">
        <v>493</v>
      </c>
      <c r="Q201" s="121">
        <v>13.44</v>
      </c>
      <c r="R201" s="285">
        <f t="shared" ref="R201:R205" si="22">O201*P201</f>
        <v>6.7240000000000002</v>
      </c>
    </row>
    <row r="202" spans="1:18" ht="28.5">
      <c r="A202" s="283" t="s">
        <v>434</v>
      </c>
      <c r="B202" s="283" t="s">
        <v>691</v>
      </c>
      <c r="C202" s="283" t="s">
        <v>427</v>
      </c>
      <c r="D202" s="284" t="s">
        <v>692</v>
      </c>
      <c r="E202" s="111" t="s">
        <v>1576</v>
      </c>
      <c r="F202" s="113">
        <v>0.4</v>
      </c>
      <c r="G202" s="121">
        <v>21.41</v>
      </c>
      <c r="H202" s="121">
        <v>8.56</v>
      </c>
      <c r="I202" s="285">
        <f t="shared" si="21"/>
        <v>8.5640000000000001</v>
      </c>
      <c r="J202" s="281" t="s">
        <v>434</v>
      </c>
      <c r="K202" s="281" t="s">
        <v>491</v>
      </c>
      <c r="L202" s="281" t="s">
        <v>427</v>
      </c>
      <c r="M202" s="282" t="s">
        <v>492</v>
      </c>
      <c r="N202" s="111" t="s">
        <v>464</v>
      </c>
      <c r="O202" s="113">
        <v>0.8</v>
      </c>
      <c r="P202" s="121" t="s">
        <v>694</v>
      </c>
      <c r="Q202" s="121">
        <v>8.56</v>
      </c>
      <c r="R202" s="285">
        <f t="shared" si="22"/>
        <v>17.128</v>
      </c>
    </row>
    <row r="203" spans="1:18" ht="57">
      <c r="A203" s="274" t="s">
        <v>437</v>
      </c>
      <c r="B203" s="274" t="s">
        <v>704</v>
      </c>
      <c r="C203" s="274" t="s">
        <v>427</v>
      </c>
      <c r="D203" s="275" t="s">
        <v>705</v>
      </c>
      <c r="E203" s="274" t="s">
        <v>451</v>
      </c>
      <c r="F203" s="276">
        <v>1.2</v>
      </c>
      <c r="G203" s="120">
        <v>48.09</v>
      </c>
      <c r="H203" s="120">
        <v>57.7</v>
      </c>
      <c r="I203" s="285">
        <f t="shared" si="21"/>
        <v>57.707999999999998</v>
      </c>
      <c r="J203" s="271" t="s">
        <v>437</v>
      </c>
      <c r="K203" s="271" t="s">
        <v>696</v>
      </c>
      <c r="L203" s="271" t="s">
        <v>427</v>
      </c>
      <c r="M203" s="272" t="s">
        <v>697</v>
      </c>
      <c r="N203" s="271" t="s">
        <v>676</v>
      </c>
      <c r="O203" s="273">
        <v>0.61</v>
      </c>
      <c r="P203" s="120" t="s">
        <v>698</v>
      </c>
      <c r="Q203" s="120">
        <v>57.7</v>
      </c>
      <c r="R203" s="285">
        <f t="shared" si="22"/>
        <v>29.334900000000001</v>
      </c>
    </row>
    <row r="204" spans="1:18" ht="28.5">
      <c r="A204" s="274" t="s">
        <v>437</v>
      </c>
      <c r="B204" s="274" t="s">
        <v>696</v>
      </c>
      <c r="C204" s="274" t="s">
        <v>427</v>
      </c>
      <c r="D204" s="275" t="s">
        <v>697</v>
      </c>
      <c r="E204" s="274" t="s">
        <v>676</v>
      </c>
      <c r="F204" s="276">
        <v>0.61</v>
      </c>
      <c r="G204" s="120">
        <v>0.12</v>
      </c>
      <c r="H204" s="120">
        <v>7.0000000000000007E-2</v>
      </c>
      <c r="I204" s="285">
        <f t="shared" si="21"/>
        <v>7.3200000000000001E-2</v>
      </c>
      <c r="J204" s="271" t="s">
        <v>437</v>
      </c>
      <c r="K204" s="271" t="s">
        <v>700</v>
      </c>
      <c r="L204" s="271" t="s">
        <v>427</v>
      </c>
      <c r="M204" s="272" t="s">
        <v>701</v>
      </c>
      <c r="N204" s="271" t="s">
        <v>542</v>
      </c>
      <c r="O204" s="273">
        <v>3</v>
      </c>
      <c r="P204" s="120" t="s">
        <v>702</v>
      </c>
      <c r="Q204" s="120">
        <v>7.0000000000000007E-2</v>
      </c>
      <c r="R204" s="285">
        <f t="shared" si="22"/>
        <v>0.36</v>
      </c>
    </row>
    <row r="205" spans="1:18" ht="57">
      <c r="A205" s="274" t="s">
        <v>437</v>
      </c>
      <c r="B205" s="274" t="s">
        <v>700</v>
      </c>
      <c r="C205" s="274" t="s">
        <v>427</v>
      </c>
      <c r="D205" s="275" t="s">
        <v>701</v>
      </c>
      <c r="E205" s="274" t="s">
        <v>542</v>
      </c>
      <c r="F205" s="276">
        <v>3</v>
      </c>
      <c r="G205" s="120">
        <v>0.98</v>
      </c>
      <c r="H205" s="120">
        <v>2.94</v>
      </c>
      <c r="I205" s="285">
        <f t="shared" si="21"/>
        <v>2.94</v>
      </c>
      <c r="J205" s="271" t="s">
        <v>437</v>
      </c>
      <c r="K205" s="271" t="s">
        <v>704</v>
      </c>
      <c r="L205" s="271" t="s">
        <v>427</v>
      </c>
      <c r="M205" s="272" t="s">
        <v>705</v>
      </c>
      <c r="N205" s="271" t="s">
        <v>451</v>
      </c>
      <c r="O205" s="273">
        <v>1.2</v>
      </c>
      <c r="P205" s="120" t="s">
        <v>706</v>
      </c>
      <c r="Q205" s="120">
        <v>2.94</v>
      </c>
      <c r="R205" s="285">
        <f t="shared" si="22"/>
        <v>1.1759999999999999</v>
      </c>
    </row>
    <row r="206" spans="1:18">
      <c r="A206" s="104"/>
      <c r="B206" s="104"/>
      <c r="C206" s="104"/>
      <c r="D206" s="104"/>
      <c r="E206" s="104"/>
      <c r="F206" s="105"/>
      <c r="G206" s="106"/>
      <c r="H206" s="107"/>
      <c r="I206" s="285"/>
    </row>
    <row r="207" spans="1:18">
      <c r="A207" s="108"/>
      <c r="B207" s="108"/>
      <c r="C207" s="108"/>
      <c r="D207" s="108"/>
      <c r="E207" s="108"/>
      <c r="F207" s="109"/>
      <c r="G207" s="110"/>
      <c r="H207" s="110"/>
      <c r="I207" s="285"/>
    </row>
    <row r="208" spans="1:18">
      <c r="A208" s="92" t="s">
        <v>708</v>
      </c>
      <c r="B208" s="92"/>
      <c r="C208" s="92"/>
      <c r="D208" s="93" t="s">
        <v>99</v>
      </c>
      <c r="E208" s="94"/>
      <c r="F208" s="95"/>
      <c r="G208" s="92"/>
      <c r="H208" s="96"/>
      <c r="I208" s="285"/>
    </row>
    <row r="209" spans="1:18">
      <c r="A209" s="97" t="s">
        <v>709</v>
      </c>
      <c r="B209" s="97" t="s">
        <v>418</v>
      </c>
      <c r="C209" s="97" t="s">
        <v>419</v>
      </c>
      <c r="D209" s="98" t="s">
        <v>420</v>
      </c>
      <c r="E209" s="97" t="s">
        <v>421</v>
      </c>
      <c r="F209" s="99" t="s">
        <v>422</v>
      </c>
      <c r="G209" s="97" t="s">
        <v>423</v>
      </c>
      <c r="H209" s="97" t="s">
        <v>424</v>
      </c>
      <c r="I209" s="285"/>
    </row>
    <row r="210" spans="1:18" ht="28.5">
      <c r="A210" s="100" t="s">
        <v>425</v>
      </c>
      <c r="B210" s="100" t="s">
        <v>710</v>
      </c>
      <c r="C210" s="100" t="s">
        <v>427</v>
      </c>
      <c r="D210" s="101" t="s">
        <v>102</v>
      </c>
      <c r="E210" s="100" t="s">
        <v>31</v>
      </c>
      <c r="F210" s="102">
        <v>1</v>
      </c>
      <c r="G210" s="119">
        <v>32.86</v>
      </c>
      <c r="H210" s="119">
        <v>32.86</v>
      </c>
      <c r="I210" s="285">
        <f>SUM(I211:I215)</f>
        <v>32.872599999999998</v>
      </c>
      <c r="J210" s="100" t="s">
        <v>425</v>
      </c>
      <c r="K210" s="100" t="s">
        <v>710</v>
      </c>
      <c r="L210" s="100" t="s">
        <v>427</v>
      </c>
      <c r="M210" s="101" t="s">
        <v>102</v>
      </c>
      <c r="N210" s="100" t="s">
        <v>31</v>
      </c>
      <c r="O210" s="102">
        <v>1</v>
      </c>
      <c r="P210" s="119" t="s">
        <v>711</v>
      </c>
      <c r="Q210" s="119" t="s">
        <v>711</v>
      </c>
      <c r="R210" s="285">
        <f>SUM(R211:R215)</f>
        <v>71.581600000000009</v>
      </c>
    </row>
    <row r="211" spans="1:18" ht="28.5">
      <c r="A211" s="111" t="s">
        <v>434</v>
      </c>
      <c r="B211" s="111" t="s">
        <v>716</v>
      </c>
      <c r="C211" s="111" t="s">
        <v>427</v>
      </c>
      <c r="D211" s="112" t="s">
        <v>645</v>
      </c>
      <c r="E211" s="111" t="s">
        <v>1576</v>
      </c>
      <c r="F211" s="113">
        <v>0.2</v>
      </c>
      <c r="G211" s="121">
        <v>25.03</v>
      </c>
      <c r="H211" s="121">
        <v>5</v>
      </c>
      <c r="I211" s="285">
        <f t="shared" ref="I211:I215" si="23">F211*G211</f>
        <v>5.0060000000000002</v>
      </c>
      <c r="J211" s="111" t="s">
        <v>434</v>
      </c>
      <c r="K211" s="111" t="s">
        <v>712</v>
      </c>
      <c r="L211" s="111" t="s">
        <v>427</v>
      </c>
      <c r="M211" s="112" t="s">
        <v>713</v>
      </c>
      <c r="N211" s="111" t="s">
        <v>464</v>
      </c>
      <c r="O211" s="113">
        <v>0.2</v>
      </c>
      <c r="P211" s="121" t="s">
        <v>714</v>
      </c>
      <c r="Q211" s="121" t="s">
        <v>715</v>
      </c>
      <c r="R211" s="285">
        <f t="shared" ref="R211:R215" si="24">O211*P211</f>
        <v>5.0060000000000002</v>
      </c>
    </row>
    <row r="212" spans="1:18" ht="28.5">
      <c r="A212" s="111" t="s">
        <v>434</v>
      </c>
      <c r="B212" s="111" t="s">
        <v>712</v>
      </c>
      <c r="C212" s="111" t="s">
        <v>427</v>
      </c>
      <c r="D212" s="112" t="s">
        <v>713</v>
      </c>
      <c r="E212" s="111" t="s">
        <v>1576</v>
      </c>
      <c r="F212" s="113">
        <v>0.2</v>
      </c>
      <c r="G212" s="121">
        <v>19.03</v>
      </c>
      <c r="H212" s="121">
        <v>3.8</v>
      </c>
      <c r="I212" s="285">
        <f t="shared" si="23"/>
        <v>3.8060000000000005</v>
      </c>
      <c r="J212" s="111" t="s">
        <v>434</v>
      </c>
      <c r="K212" s="111" t="s">
        <v>716</v>
      </c>
      <c r="L212" s="111" t="s">
        <v>427</v>
      </c>
      <c r="M212" s="112" t="s">
        <v>645</v>
      </c>
      <c r="N212" s="111" t="s">
        <v>464</v>
      </c>
      <c r="O212" s="113">
        <v>0.2</v>
      </c>
      <c r="P212" s="121" t="s">
        <v>465</v>
      </c>
      <c r="Q212" s="121" t="s">
        <v>717</v>
      </c>
      <c r="R212" s="285">
        <f t="shared" si="24"/>
        <v>3.8060000000000005</v>
      </c>
    </row>
    <row r="213" spans="1:18" ht="28.5">
      <c r="A213" s="115" t="s">
        <v>437</v>
      </c>
      <c r="B213" s="115" t="s">
        <v>696</v>
      </c>
      <c r="C213" s="115" t="s">
        <v>427</v>
      </c>
      <c r="D213" s="116" t="s">
        <v>697</v>
      </c>
      <c r="E213" s="115" t="s">
        <v>676</v>
      </c>
      <c r="F213" s="117">
        <v>1.5</v>
      </c>
      <c r="G213" s="120">
        <v>0.12</v>
      </c>
      <c r="H213" s="120">
        <v>0.18</v>
      </c>
      <c r="I213" s="285">
        <f t="shared" si="23"/>
        <v>0.18</v>
      </c>
      <c r="J213" s="115" t="s">
        <v>437</v>
      </c>
      <c r="K213" s="115" t="s">
        <v>696</v>
      </c>
      <c r="L213" s="115" t="s">
        <v>427</v>
      </c>
      <c r="M213" s="116" t="s">
        <v>697</v>
      </c>
      <c r="N213" s="115" t="s">
        <v>676</v>
      </c>
      <c r="O213" s="117">
        <v>1.5</v>
      </c>
      <c r="P213" s="120" t="s">
        <v>702</v>
      </c>
      <c r="Q213" s="120" t="s">
        <v>718</v>
      </c>
      <c r="R213" s="285">
        <f t="shared" si="24"/>
        <v>0.18</v>
      </c>
    </row>
    <row r="214" spans="1:18" ht="28.5">
      <c r="A214" s="287" t="s">
        <v>437</v>
      </c>
      <c r="B214" s="287" t="s">
        <v>700</v>
      </c>
      <c r="C214" s="287" t="s">
        <v>427</v>
      </c>
      <c r="D214" s="288" t="s">
        <v>701</v>
      </c>
      <c r="E214" s="287" t="s">
        <v>542</v>
      </c>
      <c r="F214" s="289">
        <v>3</v>
      </c>
      <c r="G214" s="291">
        <v>0.98</v>
      </c>
      <c r="H214" s="120">
        <v>2.94</v>
      </c>
      <c r="I214" s="285">
        <f t="shared" si="23"/>
        <v>2.94</v>
      </c>
      <c r="J214" s="271" t="s">
        <v>437</v>
      </c>
      <c r="K214" s="271" t="s">
        <v>719</v>
      </c>
      <c r="L214" s="271" t="s">
        <v>427</v>
      </c>
      <c r="M214" s="272" t="s">
        <v>720</v>
      </c>
      <c r="N214" s="271" t="s">
        <v>472</v>
      </c>
      <c r="O214" s="273">
        <v>1.02</v>
      </c>
      <c r="P214" s="270" t="s">
        <v>706</v>
      </c>
      <c r="Q214" s="120" t="s">
        <v>707</v>
      </c>
      <c r="R214" s="285">
        <f t="shared" si="24"/>
        <v>0.99960000000000004</v>
      </c>
    </row>
    <row r="215" spans="1:18" ht="28.5">
      <c r="A215" s="287" t="s">
        <v>437</v>
      </c>
      <c r="B215" s="287" t="s">
        <v>719</v>
      </c>
      <c r="C215" s="287" t="s">
        <v>427</v>
      </c>
      <c r="D215" s="288" t="s">
        <v>720</v>
      </c>
      <c r="E215" s="287" t="s">
        <v>472</v>
      </c>
      <c r="F215" s="289">
        <v>1.02</v>
      </c>
      <c r="G215" s="291">
        <v>20.53</v>
      </c>
      <c r="H215" s="120">
        <v>20.94</v>
      </c>
      <c r="I215" s="285">
        <f t="shared" si="23"/>
        <v>20.9406</v>
      </c>
      <c r="J215" s="271" t="s">
        <v>437</v>
      </c>
      <c r="K215" s="271" t="s">
        <v>700</v>
      </c>
      <c r="L215" s="271" t="s">
        <v>427</v>
      </c>
      <c r="M215" s="272" t="s">
        <v>701</v>
      </c>
      <c r="N215" s="271" t="s">
        <v>542</v>
      </c>
      <c r="O215" s="273">
        <v>3</v>
      </c>
      <c r="P215" s="270" t="s">
        <v>721</v>
      </c>
      <c r="Q215" s="120" t="s">
        <v>722</v>
      </c>
      <c r="R215" s="285">
        <f t="shared" si="24"/>
        <v>61.59</v>
      </c>
    </row>
    <row r="216" spans="1:18">
      <c r="A216" s="104"/>
      <c r="B216" s="104"/>
      <c r="C216" s="104"/>
      <c r="D216" s="104"/>
      <c r="E216" s="104"/>
      <c r="F216" s="105"/>
      <c r="G216" s="106"/>
      <c r="H216" s="107"/>
      <c r="I216" s="285"/>
      <c r="R216" s="285"/>
    </row>
    <row r="217" spans="1:18">
      <c r="A217" s="108"/>
      <c r="B217" s="108"/>
      <c r="C217" s="108"/>
      <c r="D217" s="108"/>
      <c r="E217" s="108"/>
      <c r="F217" s="109"/>
      <c r="G217" s="110"/>
      <c r="H217" s="110"/>
      <c r="I217" s="285"/>
    </row>
    <row r="218" spans="1:18">
      <c r="A218" s="97" t="s">
        <v>723</v>
      </c>
      <c r="B218" s="97" t="s">
        <v>418</v>
      </c>
      <c r="C218" s="97" t="s">
        <v>419</v>
      </c>
      <c r="D218" s="98" t="s">
        <v>420</v>
      </c>
      <c r="E218" s="97" t="s">
        <v>421</v>
      </c>
      <c r="F218" s="99" t="s">
        <v>422</v>
      </c>
      <c r="G218" s="97" t="s">
        <v>423</v>
      </c>
      <c r="H218" s="97" t="s">
        <v>424</v>
      </c>
      <c r="I218" s="285"/>
    </row>
    <row r="219" spans="1:18" ht="42.75">
      <c r="A219" s="100" t="s">
        <v>425</v>
      </c>
      <c r="B219" s="100" t="s">
        <v>724</v>
      </c>
      <c r="C219" s="100" t="s">
        <v>431</v>
      </c>
      <c r="D219" s="101" t="s">
        <v>104</v>
      </c>
      <c r="E219" s="100" t="s">
        <v>31</v>
      </c>
      <c r="F219" s="102">
        <v>1</v>
      </c>
      <c r="G219" s="103">
        <v>112.79</v>
      </c>
      <c r="H219" s="103">
        <v>112.79</v>
      </c>
      <c r="I219" s="285">
        <f>SUM(I220:I228)</f>
        <v>112.82910600000002</v>
      </c>
    </row>
    <row r="220" spans="1:18" ht="42.75">
      <c r="A220" s="111" t="s">
        <v>434</v>
      </c>
      <c r="B220" s="111" t="s">
        <v>649</v>
      </c>
      <c r="C220" s="111" t="s">
        <v>431</v>
      </c>
      <c r="D220" s="112" t="s">
        <v>650</v>
      </c>
      <c r="E220" s="111" t="s">
        <v>518</v>
      </c>
      <c r="F220" s="113">
        <v>1.83E-2</v>
      </c>
      <c r="G220" s="114">
        <v>21.74</v>
      </c>
      <c r="H220" s="114">
        <v>0.39</v>
      </c>
      <c r="I220" s="285">
        <f t="shared" ref="I220:I228" si="25">F220*G220</f>
        <v>0.39784199999999997</v>
      </c>
    </row>
    <row r="221" spans="1:18" ht="42.75">
      <c r="A221" s="111" t="s">
        <v>434</v>
      </c>
      <c r="B221" s="111" t="s">
        <v>651</v>
      </c>
      <c r="C221" s="111" t="s">
        <v>431</v>
      </c>
      <c r="D221" s="112" t="s">
        <v>652</v>
      </c>
      <c r="E221" s="111" t="s">
        <v>515</v>
      </c>
      <c r="F221" s="113">
        <v>1.32E-2</v>
      </c>
      <c r="G221" s="114">
        <v>22.78</v>
      </c>
      <c r="H221" s="114">
        <v>0.3</v>
      </c>
      <c r="I221" s="285">
        <f t="shared" si="25"/>
        <v>0.30069600000000002</v>
      </c>
    </row>
    <row r="222" spans="1:18" ht="28.5">
      <c r="A222" s="111" t="s">
        <v>434</v>
      </c>
      <c r="B222" s="111" t="s">
        <v>519</v>
      </c>
      <c r="C222" s="111" t="s">
        <v>431</v>
      </c>
      <c r="D222" s="112" t="s">
        <v>492</v>
      </c>
      <c r="E222" s="111" t="s">
        <v>520</v>
      </c>
      <c r="F222" s="113">
        <v>0.371</v>
      </c>
      <c r="G222" s="114">
        <v>16.809999999999999</v>
      </c>
      <c r="H222" s="114">
        <v>6.23</v>
      </c>
      <c r="I222" s="285">
        <f t="shared" si="25"/>
        <v>6.2365099999999991</v>
      </c>
    </row>
    <row r="223" spans="1:18" ht="28.5">
      <c r="A223" s="111" t="s">
        <v>434</v>
      </c>
      <c r="B223" s="111" t="s">
        <v>644</v>
      </c>
      <c r="C223" s="111" t="s">
        <v>431</v>
      </c>
      <c r="D223" s="112" t="s">
        <v>645</v>
      </c>
      <c r="E223" s="111" t="s">
        <v>520</v>
      </c>
      <c r="F223" s="113">
        <v>0.27700000000000002</v>
      </c>
      <c r="G223" s="114">
        <v>22.63</v>
      </c>
      <c r="H223" s="114">
        <v>6.26</v>
      </c>
      <c r="I223" s="285">
        <f t="shared" si="25"/>
        <v>6.26851</v>
      </c>
    </row>
    <row r="224" spans="1:18" ht="28.5">
      <c r="A224" s="115" t="s">
        <v>437</v>
      </c>
      <c r="B224" s="115" t="s">
        <v>725</v>
      </c>
      <c r="C224" s="115" t="s">
        <v>431</v>
      </c>
      <c r="D224" s="116" t="s">
        <v>726</v>
      </c>
      <c r="E224" s="115" t="s">
        <v>31</v>
      </c>
      <c r="F224" s="117">
        <v>1.05</v>
      </c>
      <c r="G224" s="118">
        <v>65.790000000000006</v>
      </c>
      <c r="H224" s="118">
        <v>69.069999999999993</v>
      </c>
      <c r="I224" s="285">
        <f t="shared" si="25"/>
        <v>69.07950000000001</v>
      </c>
    </row>
    <row r="225" spans="1:9">
      <c r="A225" s="115" t="s">
        <v>437</v>
      </c>
      <c r="B225" s="115" t="s">
        <v>727</v>
      </c>
      <c r="C225" s="115" t="s">
        <v>431</v>
      </c>
      <c r="D225" s="116" t="s">
        <v>728</v>
      </c>
      <c r="E225" s="115" t="s">
        <v>60</v>
      </c>
      <c r="F225" s="117">
        <v>1.2999999999999999E-2</v>
      </c>
      <c r="G225" s="118">
        <v>20.100000000000001</v>
      </c>
      <c r="H225" s="118">
        <v>0.26</v>
      </c>
      <c r="I225" s="285">
        <f t="shared" si="25"/>
        <v>0.26130000000000003</v>
      </c>
    </row>
    <row r="226" spans="1:9" ht="28.5">
      <c r="A226" s="115" t="s">
        <v>437</v>
      </c>
      <c r="B226" s="115" t="s">
        <v>729</v>
      </c>
      <c r="C226" s="115" t="s">
        <v>431</v>
      </c>
      <c r="D226" s="116" t="s">
        <v>730</v>
      </c>
      <c r="E226" s="115" t="s">
        <v>60</v>
      </c>
      <c r="F226" s="117">
        <v>2.3999999999999998E-3</v>
      </c>
      <c r="G226" s="118">
        <v>100.92</v>
      </c>
      <c r="H226" s="118">
        <v>0.24</v>
      </c>
      <c r="I226" s="285">
        <f t="shared" si="25"/>
        <v>0.24220799999999998</v>
      </c>
    </row>
    <row r="227" spans="1:9" ht="28.5">
      <c r="A227" s="115" t="s">
        <v>437</v>
      </c>
      <c r="B227" s="115" t="s">
        <v>731</v>
      </c>
      <c r="C227" s="115" t="s">
        <v>431</v>
      </c>
      <c r="D227" s="116" t="s">
        <v>732</v>
      </c>
      <c r="E227" s="115" t="s">
        <v>733</v>
      </c>
      <c r="F227" s="117">
        <v>8.1000000000000003E-2</v>
      </c>
      <c r="G227" s="118">
        <v>24.84</v>
      </c>
      <c r="H227" s="118">
        <v>2.0099999999999998</v>
      </c>
      <c r="I227" s="285">
        <f t="shared" si="25"/>
        <v>2.0120400000000003</v>
      </c>
    </row>
    <row r="228" spans="1:9">
      <c r="A228" s="115" t="s">
        <v>437</v>
      </c>
      <c r="B228" s="115" t="s">
        <v>734</v>
      </c>
      <c r="C228" s="115" t="s">
        <v>431</v>
      </c>
      <c r="D228" s="116" t="s">
        <v>735</v>
      </c>
      <c r="E228" s="115" t="s">
        <v>60</v>
      </c>
      <c r="F228" s="117">
        <v>0.09</v>
      </c>
      <c r="G228" s="118">
        <v>311.45</v>
      </c>
      <c r="H228" s="118">
        <v>28.03</v>
      </c>
      <c r="I228" s="285">
        <f t="shared" si="25"/>
        <v>28.030499999999996</v>
      </c>
    </row>
    <row r="229" spans="1:9">
      <c r="A229" s="104"/>
      <c r="B229" s="104"/>
      <c r="C229" s="104"/>
      <c r="D229" s="104"/>
      <c r="E229" s="104"/>
      <c r="F229" s="105"/>
      <c r="G229" s="106"/>
      <c r="H229" s="107"/>
      <c r="I229" s="285"/>
    </row>
    <row r="230" spans="1:9">
      <c r="A230" s="108"/>
      <c r="B230" s="108"/>
      <c r="C230" s="108"/>
      <c r="D230" s="108"/>
      <c r="E230" s="108"/>
      <c r="F230" s="109"/>
      <c r="G230" s="110"/>
      <c r="H230" s="110"/>
      <c r="I230" s="285"/>
    </row>
    <row r="231" spans="1:9">
      <c r="A231" s="97" t="s">
        <v>736</v>
      </c>
      <c r="B231" s="97" t="s">
        <v>418</v>
      </c>
      <c r="C231" s="97" t="s">
        <v>419</v>
      </c>
      <c r="D231" s="98" t="s">
        <v>420</v>
      </c>
      <c r="E231" s="97" t="s">
        <v>421</v>
      </c>
      <c r="F231" s="99" t="s">
        <v>422</v>
      </c>
      <c r="G231" s="97" t="s">
        <v>423</v>
      </c>
      <c r="H231" s="97" t="s">
        <v>424</v>
      </c>
      <c r="I231" s="285"/>
    </row>
    <row r="232" spans="1:9" ht="57">
      <c r="A232" s="100" t="s">
        <v>425</v>
      </c>
      <c r="B232" s="100" t="s">
        <v>737</v>
      </c>
      <c r="C232" s="100" t="s">
        <v>431</v>
      </c>
      <c r="D232" s="101" t="s">
        <v>106</v>
      </c>
      <c r="E232" s="100" t="s">
        <v>31</v>
      </c>
      <c r="F232" s="102">
        <v>1</v>
      </c>
      <c r="G232" s="103">
        <v>51.6</v>
      </c>
      <c r="H232" s="103">
        <v>51.6</v>
      </c>
      <c r="I232" s="285">
        <f>SUM(I233:I247)</f>
        <v>51.645460000000007</v>
      </c>
    </row>
    <row r="233" spans="1:9" ht="42.75">
      <c r="A233" s="111" t="s">
        <v>434</v>
      </c>
      <c r="B233" s="111" t="s">
        <v>738</v>
      </c>
      <c r="C233" s="111" t="s">
        <v>431</v>
      </c>
      <c r="D233" s="112" t="s">
        <v>739</v>
      </c>
      <c r="E233" s="111" t="s">
        <v>31</v>
      </c>
      <c r="F233" s="113">
        <v>0.86</v>
      </c>
      <c r="G233" s="114">
        <v>30.05</v>
      </c>
      <c r="H233" s="114">
        <v>25.84</v>
      </c>
      <c r="I233" s="285">
        <f t="shared" ref="I233:I247" si="26">F233*G233</f>
        <v>25.843</v>
      </c>
    </row>
    <row r="234" spans="1:9" ht="28.5">
      <c r="A234" s="111" t="s">
        <v>434</v>
      </c>
      <c r="B234" s="111" t="s">
        <v>740</v>
      </c>
      <c r="C234" s="111" t="s">
        <v>431</v>
      </c>
      <c r="D234" s="112" t="s">
        <v>741</v>
      </c>
      <c r="E234" s="111" t="s">
        <v>31</v>
      </c>
      <c r="F234" s="113">
        <v>0.14000000000000001</v>
      </c>
      <c r="G234" s="114">
        <v>44.53</v>
      </c>
      <c r="H234" s="114">
        <v>6.23</v>
      </c>
      <c r="I234" s="285">
        <f t="shared" si="26"/>
        <v>6.2342000000000004</v>
      </c>
    </row>
    <row r="235" spans="1:9" ht="42.75">
      <c r="A235" s="111" t="s">
        <v>434</v>
      </c>
      <c r="B235" s="111" t="s">
        <v>742</v>
      </c>
      <c r="C235" s="111" t="s">
        <v>431</v>
      </c>
      <c r="D235" s="112" t="s">
        <v>743</v>
      </c>
      <c r="E235" s="111" t="s">
        <v>8</v>
      </c>
      <c r="F235" s="113">
        <v>1.89E-2</v>
      </c>
      <c r="G235" s="114">
        <v>26.38</v>
      </c>
      <c r="H235" s="114">
        <v>0.49</v>
      </c>
      <c r="I235" s="285">
        <f t="shared" si="26"/>
        <v>0.49858199999999997</v>
      </c>
    </row>
    <row r="236" spans="1:9" ht="42.75">
      <c r="A236" s="111" t="s">
        <v>434</v>
      </c>
      <c r="B236" s="111" t="s">
        <v>744</v>
      </c>
      <c r="C236" s="111" t="s">
        <v>431</v>
      </c>
      <c r="D236" s="112" t="s">
        <v>745</v>
      </c>
      <c r="E236" s="111" t="s">
        <v>8</v>
      </c>
      <c r="F236" s="113">
        <v>7.5200000000000003E-2</v>
      </c>
      <c r="G236" s="114">
        <v>30.73</v>
      </c>
      <c r="H236" s="114">
        <v>2.31</v>
      </c>
      <c r="I236" s="285">
        <f t="shared" si="26"/>
        <v>2.3108960000000001</v>
      </c>
    </row>
    <row r="237" spans="1:9" ht="42.75">
      <c r="A237" s="111" t="s">
        <v>434</v>
      </c>
      <c r="B237" s="111" t="s">
        <v>746</v>
      </c>
      <c r="C237" s="111" t="s">
        <v>431</v>
      </c>
      <c r="D237" s="112" t="s">
        <v>747</v>
      </c>
      <c r="E237" s="111" t="s">
        <v>8</v>
      </c>
      <c r="F237" s="113">
        <v>9.6100000000000005E-2</v>
      </c>
      <c r="G237" s="114">
        <v>30.51</v>
      </c>
      <c r="H237" s="114">
        <v>2.93</v>
      </c>
      <c r="I237" s="285">
        <f t="shared" si="26"/>
        <v>2.9320110000000001</v>
      </c>
    </row>
    <row r="238" spans="1:9" ht="42.75">
      <c r="A238" s="111" t="s">
        <v>434</v>
      </c>
      <c r="B238" s="111" t="s">
        <v>748</v>
      </c>
      <c r="C238" s="111" t="s">
        <v>431</v>
      </c>
      <c r="D238" s="112" t="s">
        <v>749</v>
      </c>
      <c r="E238" s="111" t="s">
        <v>8</v>
      </c>
      <c r="F238" s="113">
        <v>7.4499999999999997E-2</v>
      </c>
      <c r="G238" s="114">
        <v>21.08</v>
      </c>
      <c r="H238" s="114">
        <v>1.57</v>
      </c>
      <c r="I238" s="285">
        <f t="shared" si="26"/>
        <v>1.5704599999999997</v>
      </c>
    </row>
    <row r="239" spans="1:9" ht="42.75">
      <c r="A239" s="111" t="s">
        <v>434</v>
      </c>
      <c r="B239" s="111" t="s">
        <v>750</v>
      </c>
      <c r="C239" s="111" t="s">
        <v>431</v>
      </c>
      <c r="D239" s="112" t="s">
        <v>751</v>
      </c>
      <c r="E239" s="111" t="s">
        <v>8</v>
      </c>
      <c r="F239" s="113">
        <v>2.2200000000000001E-2</v>
      </c>
      <c r="G239" s="114">
        <v>32.130000000000003</v>
      </c>
      <c r="H239" s="114">
        <v>0.71</v>
      </c>
      <c r="I239" s="285">
        <f t="shared" si="26"/>
        <v>0.71328600000000009</v>
      </c>
    </row>
    <row r="240" spans="1:9" ht="42.75">
      <c r="A240" s="111" t="s">
        <v>434</v>
      </c>
      <c r="B240" s="111" t="s">
        <v>752</v>
      </c>
      <c r="C240" s="111" t="s">
        <v>431</v>
      </c>
      <c r="D240" s="112" t="s">
        <v>753</v>
      </c>
      <c r="E240" s="111" t="s">
        <v>8</v>
      </c>
      <c r="F240" s="113">
        <v>8.9300000000000004E-2</v>
      </c>
      <c r="G240" s="114">
        <v>28</v>
      </c>
      <c r="H240" s="114">
        <v>2.5</v>
      </c>
      <c r="I240" s="285">
        <f t="shared" si="26"/>
        <v>2.5004</v>
      </c>
    </row>
    <row r="241" spans="1:9" ht="42.75">
      <c r="A241" s="111" t="s">
        <v>434</v>
      </c>
      <c r="B241" s="111" t="s">
        <v>754</v>
      </c>
      <c r="C241" s="111" t="s">
        <v>431</v>
      </c>
      <c r="D241" s="112" t="s">
        <v>755</v>
      </c>
      <c r="E241" s="111" t="s">
        <v>8</v>
      </c>
      <c r="F241" s="113">
        <v>0.26090000000000002</v>
      </c>
      <c r="G241" s="114">
        <v>19.86</v>
      </c>
      <c r="H241" s="114">
        <v>5.18</v>
      </c>
      <c r="I241" s="285">
        <f t="shared" si="26"/>
        <v>5.1814740000000006</v>
      </c>
    </row>
    <row r="242" spans="1:9" ht="42.75">
      <c r="A242" s="111" t="s">
        <v>434</v>
      </c>
      <c r="B242" s="111" t="s">
        <v>756</v>
      </c>
      <c r="C242" s="111" t="s">
        <v>431</v>
      </c>
      <c r="D242" s="112" t="s">
        <v>757</v>
      </c>
      <c r="E242" s="111" t="s">
        <v>8</v>
      </c>
      <c r="F242" s="113">
        <v>2.8999999999999998E-3</v>
      </c>
      <c r="G242" s="114">
        <v>56.6</v>
      </c>
      <c r="H242" s="114">
        <v>0.16</v>
      </c>
      <c r="I242" s="285">
        <f t="shared" si="26"/>
        <v>0.16413999999999998</v>
      </c>
    </row>
    <row r="243" spans="1:9" ht="42.75">
      <c r="A243" s="111" t="s">
        <v>434</v>
      </c>
      <c r="B243" s="111" t="s">
        <v>758</v>
      </c>
      <c r="C243" s="111" t="s">
        <v>431</v>
      </c>
      <c r="D243" s="112" t="s">
        <v>759</v>
      </c>
      <c r="E243" s="111" t="s">
        <v>8</v>
      </c>
      <c r="F243" s="113">
        <v>4.07E-2</v>
      </c>
      <c r="G243" s="114">
        <v>47.7</v>
      </c>
      <c r="H243" s="114">
        <v>1.94</v>
      </c>
      <c r="I243" s="285">
        <f t="shared" si="26"/>
        <v>1.9413900000000002</v>
      </c>
    </row>
    <row r="244" spans="1:9" ht="42.75">
      <c r="A244" s="111" t="s">
        <v>434</v>
      </c>
      <c r="B244" s="111" t="s">
        <v>760</v>
      </c>
      <c r="C244" s="111" t="s">
        <v>431</v>
      </c>
      <c r="D244" s="112" t="s">
        <v>761</v>
      </c>
      <c r="E244" s="111" t="s">
        <v>8</v>
      </c>
      <c r="F244" s="113">
        <v>1.5E-3</v>
      </c>
      <c r="G244" s="114">
        <v>81.19</v>
      </c>
      <c r="H244" s="114">
        <v>0.12</v>
      </c>
      <c r="I244" s="285">
        <f t="shared" si="26"/>
        <v>0.121785</v>
      </c>
    </row>
    <row r="245" spans="1:9" ht="28.5">
      <c r="A245" s="111" t="s">
        <v>434</v>
      </c>
      <c r="B245" s="111" t="s">
        <v>762</v>
      </c>
      <c r="C245" s="111" t="s">
        <v>431</v>
      </c>
      <c r="D245" s="112" t="s">
        <v>763</v>
      </c>
      <c r="E245" s="111" t="s">
        <v>8</v>
      </c>
      <c r="F245" s="113">
        <v>9.1700000000000004E-2</v>
      </c>
      <c r="G245" s="114">
        <v>5.0999999999999996</v>
      </c>
      <c r="H245" s="114">
        <v>0.46</v>
      </c>
      <c r="I245" s="285">
        <f t="shared" si="26"/>
        <v>0.46766999999999997</v>
      </c>
    </row>
    <row r="246" spans="1:9" ht="28.5">
      <c r="A246" s="111" t="s">
        <v>434</v>
      </c>
      <c r="B246" s="111" t="s">
        <v>764</v>
      </c>
      <c r="C246" s="111" t="s">
        <v>431</v>
      </c>
      <c r="D246" s="112" t="s">
        <v>765</v>
      </c>
      <c r="E246" s="111" t="s">
        <v>8</v>
      </c>
      <c r="F246" s="113">
        <v>3.3300000000000003E-2</v>
      </c>
      <c r="G246" s="114">
        <v>30.34</v>
      </c>
      <c r="H246" s="114">
        <v>1.01</v>
      </c>
      <c r="I246" s="285">
        <f t="shared" si="26"/>
        <v>1.0103220000000002</v>
      </c>
    </row>
    <row r="247" spans="1:9" ht="28.5">
      <c r="A247" s="111" t="s">
        <v>434</v>
      </c>
      <c r="B247" s="111" t="s">
        <v>766</v>
      </c>
      <c r="C247" s="111" t="s">
        <v>431</v>
      </c>
      <c r="D247" s="112" t="s">
        <v>767</v>
      </c>
      <c r="E247" s="111" t="s">
        <v>8</v>
      </c>
      <c r="F247" s="113">
        <v>3.3300000000000003E-2</v>
      </c>
      <c r="G247" s="114">
        <v>4.68</v>
      </c>
      <c r="H247" s="114">
        <v>0.15</v>
      </c>
      <c r="I247" s="285">
        <f t="shared" si="26"/>
        <v>0.15584400000000001</v>
      </c>
    </row>
    <row r="248" spans="1:9">
      <c r="A248" s="104"/>
      <c r="B248" s="104"/>
      <c r="C248" s="104"/>
      <c r="D248" s="104"/>
      <c r="E248" s="104"/>
      <c r="F248" s="105"/>
      <c r="G248" s="106"/>
      <c r="H248" s="107"/>
      <c r="I248" s="285"/>
    </row>
    <row r="249" spans="1:9">
      <c r="A249" s="108"/>
      <c r="B249" s="108"/>
      <c r="C249" s="108"/>
      <c r="D249" s="108"/>
      <c r="E249" s="108"/>
      <c r="F249" s="109"/>
      <c r="G249" s="110"/>
      <c r="H249" s="110"/>
      <c r="I249" s="285"/>
    </row>
    <row r="250" spans="1:9">
      <c r="A250" s="92" t="s">
        <v>768</v>
      </c>
      <c r="B250" s="92"/>
      <c r="C250" s="92"/>
      <c r="D250" s="93" t="s">
        <v>109</v>
      </c>
      <c r="E250" s="94"/>
      <c r="F250" s="95"/>
      <c r="G250" s="92"/>
      <c r="H250" s="96"/>
      <c r="I250" s="285"/>
    </row>
    <row r="251" spans="1:9">
      <c r="A251" s="92" t="s">
        <v>769</v>
      </c>
      <c r="B251" s="92"/>
      <c r="C251" s="92"/>
      <c r="D251" s="93" t="s">
        <v>111</v>
      </c>
      <c r="E251" s="94"/>
      <c r="F251" s="95"/>
      <c r="G251" s="92"/>
      <c r="H251" s="96"/>
      <c r="I251" s="285"/>
    </row>
    <row r="252" spans="1:9">
      <c r="A252" s="97" t="s">
        <v>770</v>
      </c>
      <c r="B252" s="97" t="s">
        <v>418</v>
      </c>
      <c r="C252" s="97" t="s">
        <v>419</v>
      </c>
      <c r="D252" s="98" t="s">
        <v>420</v>
      </c>
      <c r="E252" s="97" t="s">
        <v>421</v>
      </c>
      <c r="F252" s="99" t="s">
        <v>422</v>
      </c>
      <c r="G252" s="97" t="s">
        <v>423</v>
      </c>
      <c r="H252" s="97" t="s">
        <v>424</v>
      </c>
      <c r="I252" s="285"/>
    </row>
    <row r="253" spans="1:9" ht="57">
      <c r="A253" s="100" t="s">
        <v>425</v>
      </c>
      <c r="B253" s="100" t="s">
        <v>771</v>
      </c>
      <c r="C253" s="100" t="s">
        <v>431</v>
      </c>
      <c r="D253" s="101" t="s">
        <v>113</v>
      </c>
      <c r="E253" s="100" t="s">
        <v>451</v>
      </c>
      <c r="F253" s="102">
        <v>1</v>
      </c>
      <c r="G253" s="103">
        <v>52.12</v>
      </c>
      <c r="H253" s="103">
        <v>52.12</v>
      </c>
      <c r="I253" s="285">
        <f>SUM(I254:I259)</f>
        <v>52.16109999999999</v>
      </c>
    </row>
    <row r="254" spans="1:9" ht="57">
      <c r="A254" s="111" t="s">
        <v>434</v>
      </c>
      <c r="B254" s="111" t="s">
        <v>772</v>
      </c>
      <c r="C254" s="111" t="s">
        <v>431</v>
      </c>
      <c r="D254" s="112" t="s">
        <v>773</v>
      </c>
      <c r="E254" s="111" t="s">
        <v>468</v>
      </c>
      <c r="F254" s="113">
        <v>1.04E-2</v>
      </c>
      <c r="G254" s="114">
        <v>444.75</v>
      </c>
      <c r="H254" s="114">
        <v>4.62</v>
      </c>
      <c r="I254" s="285">
        <f t="shared" ref="I254:I259" si="27">F254*G254</f>
        <v>4.6254</v>
      </c>
    </row>
    <row r="255" spans="1:9" ht="28.5">
      <c r="A255" s="111" t="s">
        <v>434</v>
      </c>
      <c r="B255" s="111" t="s">
        <v>519</v>
      </c>
      <c r="C255" s="111" t="s">
        <v>431</v>
      </c>
      <c r="D255" s="112" t="s">
        <v>492</v>
      </c>
      <c r="E255" s="111" t="s">
        <v>520</v>
      </c>
      <c r="F255" s="113">
        <v>0.29499999999999998</v>
      </c>
      <c r="G255" s="114">
        <v>16.809999999999999</v>
      </c>
      <c r="H255" s="114">
        <v>4.95</v>
      </c>
      <c r="I255" s="285">
        <f t="shared" si="27"/>
        <v>4.9589499999999997</v>
      </c>
    </row>
    <row r="256" spans="1:9" ht="28.5">
      <c r="A256" s="111" t="s">
        <v>434</v>
      </c>
      <c r="B256" s="111" t="s">
        <v>521</v>
      </c>
      <c r="C256" s="111" t="s">
        <v>431</v>
      </c>
      <c r="D256" s="112" t="s">
        <v>522</v>
      </c>
      <c r="E256" s="111" t="s">
        <v>520</v>
      </c>
      <c r="F256" s="113">
        <v>0.59</v>
      </c>
      <c r="G256" s="114">
        <v>23.1</v>
      </c>
      <c r="H256" s="114">
        <v>13.62</v>
      </c>
      <c r="I256" s="285">
        <f t="shared" si="27"/>
        <v>13.629</v>
      </c>
    </row>
    <row r="257" spans="1:9" ht="28.5">
      <c r="A257" s="115" t="s">
        <v>437</v>
      </c>
      <c r="B257" s="115" t="s">
        <v>774</v>
      </c>
      <c r="C257" s="115" t="s">
        <v>431</v>
      </c>
      <c r="D257" s="116" t="s">
        <v>775</v>
      </c>
      <c r="E257" s="115" t="s">
        <v>8</v>
      </c>
      <c r="F257" s="117">
        <v>13.6</v>
      </c>
      <c r="G257" s="118">
        <v>2</v>
      </c>
      <c r="H257" s="118">
        <v>27.2</v>
      </c>
      <c r="I257" s="285">
        <f t="shared" si="27"/>
        <v>27.2</v>
      </c>
    </row>
    <row r="258" spans="1:9">
      <c r="A258" s="115" t="s">
        <v>437</v>
      </c>
      <c r="B258" s="115" t="s">
        <v>776</v>
      </c>
      <c r="C258" s="115" t="s">
        <v>431</v>
      </c>
      <c r="D258" s="116" t="s">
        <v>777</v>
      </c>
      <c r="E258" s="115" t="s">
        <v>655</v>
      </c>
      <c r="F258" s="117">
        <v>5.0000000000000001E-3</v>
      </c>
      <c r="G258" s="118">
        <v>75.709999999999994</v>
      </c>
      <c r="H258" s="118">
        <v>0.37</v>
      </c>
      <c r="I258" s="285">
        <f t="shared" si="27"/>
        <v>0.37855</v>
      </c>
    </row>
    <row r="259" spans="1:9" ht="42.75">
      <c r="A259" s="115" t="s">
        <v>437</v>
      </c>
      <c r="B259" s="115" t="s">
        <v>778</v>
      </c>
      <c r="C259" s="115" t="s">
        <v>431</v>
      </c>
      <c r="D259" s="116" t="s">
        <v>779</v>
      </c>
      <c r="E259" s="115" t="s">
        <v>31</v>
      </c>
      <c r="F259" s="117">
        <v>0.42</v>
      </c>
      <c r="G259" s="118">
        <v>3.26</v>
      </c>
      <c r="H259" s="118">
        <v>1.36</v>
      </c>
      <c r="I259" s="285">
        <f t="shared" si="27"/>
        <v>1.3691999999999998</v>
      </c>
    </row>
    <row r="260" spans="1:9">
      <c r="A260" s="104"/>
      <c r="B260" s="104"/>
      <c r="C260" s="104"/>
      <c r="D260" s="104"/>
      <c r="E260" s="104"/>
      <c r="F260" s="105"/>
      <c r="G260" s="106"/>
      <c r="H260" s="107"/>
      <c r="I260" s="285"/>
    </row>
    <row r="261" spans="1:9">
      <c r="A261" s="108"/>
      <c r="B261" s="108"/>
      <c r="C261" s="108"/>
      <c r="D261" s="108"/>
      <c r="E261" s="108"/>
      <c r="F261" s="109"/>
      <c r="G261" s="110"/>
      <c r="H261" s="110"/>
      <c r="I261" s="285"/>
    </row>
    <row r="262" spans="1:9">
      <c r="A262" s="92" t="s">
        <v>780</v>
      </c>
      <c r="B262" s="92"/>
      <c r="C262" s="92"/>
      <c r="D262" s="93" t="s">
        <v>115</v>
      </c>
      <c r="E262" s="94"/>
      <c r="F262" s="95"/>
      <c r="G262" s="92"/>
      <c r="H262" s="96"/>
      <c r="I262" s="285"/>
    </row>
    <row r="263" spans="1:9">
      <c r="A263" s="97" t="s">
        <v>781</v>
      </c>
      <c r="B263" s="97" t="s">
        <v>418</v>
      </c>
      <c r="C263" s="97" t="s">
        <v>419</v>
      </c>
      <c r="D263" s="98" t="s">
        <v>420</v>
      </c>
      <c r="E263" s="97" t="s">
        <v>421</v>
      </c>
      <c r="F263" s="99" t="s">
        <v>422</v>
      </c>
      <c r="G263" s="97" t="s">
        <v>423</v>
      </c>
      <c r="H263" s="97" t="s">
        <v>424</v>
      </c>
      <c r="I263" s="285"/>
    </row>
    <row r="264" spans="1:9" ht="28.5">
      <c r="A264" s="100" t="s">
        <v>425</v>
      </c>
      <c r="B264" s="100" t="s">
        <v>782</v>
      </c>
      <c r="C264" s="100" t="s">
        <v>431</v>
      </c>
      <c r="D264" s="101" t="s">
        <v>117</v>
      </c>
      <c r="E264" s="100" t="s">
        <v>451</v>
      </c>
      <c r="F264" s="102">
        <v>1</v>
      </c>
      <c r="G264" s="103">
        <v>3.59</v>
      </c>
      <c r="H264" s="103">
        <v>3.59</v>
      </c>
      <c r="I264" s="285">
        <f>SUM(I265:I267)</f>
        <v>3.610894</v>
      </c>
    </row>
    <row r="265" spans="1:9" ht="42.75">
      <c r="A265" s="111" t="s">
        <v>434</v>
      </c>
      <c r="B265" s="111" t="s">
        <v>783</v>
      </c>
      <c r="C265" s="111" t="s">
        <v>431</v>
      </c>
      <c r="D265" s="112" t="s">
        <v>784</v>
      </c>
      <c r="E265" s="111" t="s">
        <v>468</v>
      </c>
      <c r="F265" s="113">
        <v>4.1999999999999997E-3</v>
      </c>
      <c r="G265" s="114">
        <v>446.72</v>
      </c>
      <c r="H265" s="114">
        <v>1.87</v>
      </c>
      <c r="I265" s="285">
        <f t="shared" ref="I265:I267" si="28">F265*G265</f>
        <v>1.8762239999999999</v>
      </c>
    </row>
    <row r="266" spans="1:9" ht="28.5">
      <c r="A266" s="111" t="s">
        <v>434</v>
      </c>
      <c r="B266" s="111" t="s">
        <v>521</v>
      </c>
      <c r="C266" s="111" t="s">
        <v>431</v>
      </c>
      <c r="D266" s="112" t="s">
        <v>522</v>
      </c>
      <c r="E266" s="111" t="s">
        <v>520</v>
      </c>
      <c r="F266" s="113">
        <v>7.0000000000000007E-2</v>
      </c>
      <c r="G266" s="114">
        <v>23.1</v>
      </c>
      <c r="H266" s="114">
        <v>1.61</v>
      </c>
      <c r="I266" s="285">
        <f t="shared" si="28"/>
        <v>1.6170000000000002</v>
      </c>
    </row>
    <row r="267" spans="1:9" ht="28.5">
      <c r="A267" s="111" t="s">
        <v>434</v>
      </c>
      <c r="B267" s="111" t="s">
        <v>519</v>
      </c>
      <c r="C267" s="111" t="s">
        <v>431</v>
      </c>
      <c r="D267" s="112" t="s">
        <v>492</v>
      </c>
      <c r="E267" s="111" t="s">
        <v>520</v>
      </c>
      <c r="F267" s="113">
        <v>7.0000000000000001E-3</v>
      </c>
      <c r="G267" s="114">
        <v>16.809999999999999</v>
      </c>
      <c r="H267" s="114">
        <v>0.11</v>
      </c>
      <c r="I267" s="285">
        <f t="shared" si="28"/>
        <v>0.11767</v>
      </c>
    </row>
    <row r="268" spans="1:9">
      <c r="A268" s="104"/>
      <c r="B268" s="104"/>
      <c r="C268" s="104"/>
      <c r="D268" s="104"/>
      <c r="E268" s="104"/>
      <c r="F268" s="105"/>
      <c r="G268" s="106"/>
      <c r="H268" s="107"/>
      <c r="I268" s="285"/>
    </row>
    <row r="269" spans="1:9">
      <c r="A269" s="108"/>
      <c r="B269" s="108"/>
      <c r="C269" s="108"/>
      <c r="D269" s="108"/>
      <c r="E269" s="108"/>
      <c r="F269" s="109"/>
      <c r="G269" s="110"/>
      <c r="H269" s="110"/>
      <c r="I269" s="285"/>
    </row>
    <row r="270" spans="1:9">
      <c r="A270" s="97" t="s">
        <v>785</v>
      </c>
      <c r="B270" s="97" t="s">
        <v>418</v>
      </c>
      <c r="C270" s="97" t="s">
        <v>419</v>
      </c>
      <c r="D270" s="98" t="s">
        <v>420</v>
      </c>
      <c r="E270" s="97" t="s">
        <v>421</v>
      </c>
      <c r="F270" s="99" t="s">
        <v>422</v>
      </c>
      <c r="G270" s="97" t="s">
        <v>423</v>
      </c>
      <c r="H270" s="97" t="s">
        <v>424</v>
      </c>
      <c r="I270" s="285"/>
    </row>
    <row r="271" spans="1:9" ht="28.5">
      <c r="A271" s="100" t="s">
        <v>425</v>
      </c>
      <c r="B271" s="100" t="s">
        <v>786</v>
      </c>
      <c r="C271" s="100" t="s">
        <v>431</v>
      </c>
      <c r="D271" s="101" t="s">
        <v>119</v>
      </c>
      <c r="E271" s="100" t="s">
        <v>451</v>
      </c>
      <c r="F271" s="102">
        <v>1</v>
      </c>
      <c r="G271" s="103">
        <v>35.39</v>
      </c>
      <c r="H271" s="103">
        <v>35.39</v>
      </c>
      <c r="I271" s="285">
        <f>SUM(I272:I275)</f>
        <v>35.400339000000002</v>
      </c>
    </row>
    <row r="272" spans="1:9" ht="57">
      <c r="A272" s="111" t="s">
        <v>434</v>
      </c>
      <c r="B272" s="111" t="s">
        <v>787</v>
      </c>
      <c r="C272" s="111" t="s">
        <v>431</v>
      </c>
      <c r="D272" s="112" t="s">
        <v>788</v>
      </c>
      <c r="E272" s="111" t="s">
        <v>468</v>
      </c>
      <c r="F272" s="113">
        <v>2.93E-2</v>
      </c>
      <c r="G272" s="114">
        <v>534.61</v>
      </c>
      <c r="H272" s="114">
        <v>15.66</v>
      </c>
      <c r="I272" s="285">
        <f t="shared" ref="I272:I275" si="29">F272*G272</f>
        <v>15.664073</v>
      </c>
    </row>
    <row r="273" spans="1:9" ht="28.5">
      <c r="A273" s="111" t="s">
        <v>434</v>
      </c>
      <c r="B273" s="111" t="s">
        <v>521</v>
      </c>
      <c r="C273" s="111" t="s">
        <v>431</v>
      </c>
      <c r="D273" s="112" t="s">
        <v>522</v>
      </c>
      <c r="E273" s="111" t="s">
        <v>520</v>
      </c>
      <c r="F273" s="113">
        <v>0.4</v>
      </c>
      <c r="G273" s="114">
        <v>23.1</v>
      </c>
      <c r="H273" s="114">
        <v>9.24</v>
      </c>
      <c r="I273" s="285">
        <f t="shared" si="29"/>
        <v>9.24</v>
      </c>
    </row>
    <row r="274" spans="1:9" ht="28.5">
      <c r="A274" s="111" t="s">
        <v>434</v>
      </c>
      <c r="B274" s="111" t="s">
        <v>519</v>
      </c>
      <c r="C274" s="111" t="s">
        <v>431</v>
      </c>
      <c r="D274" s="112" t="s">
        <v>492</v>
      </c>
      <c r="E274" s="111" t="s">
        <v>520</v>
      </c>
      <c r="F274" s="113">
        <v>0.4</v>
      </c>
      <c r="G274" s="114">
        <v>16.809999999999999</v>
      </c>
      <c r="H274" s="114">
        <v>6.72</v>
      </c>
      <c r="I274" s="285">
        <f t="shared" si="29"/>
        <v>6.7240000000000002</v>
      </c>
    </row>
    <row r="275" spans="1:9" ht="28.5">
      <c r="A275" s="115" t="s">
        <v>437</v>
      </c>
      <c r="B275" s="115" t="s">
        <v>789</v>
      </c>
      <c r="C275" s="115" t="s">
        <v>431</v>
      </c>
      <c r="D275" s="116" t="s">
        <v>790</v>
      </c>
      <c r="E275" s="115" t="s">
        <v>451</v>
      </c>
      <c r="F275" s="117">
        <v>0.15809999999999999</v>
      </c>
      <c r="G275" s="118">
        <v>23.86</v>
      </c>
      <c r="H275" s="118">
        <v>3.77</v>
      </c>
      <c r="I275" s="285">
        <f t="shared" si="29"/>
        <v>3.7722659999999997</v>
      </c>
    </row>
    <row r="276" spans="1:9">
      <c r="A276" s="104"/>
      <c r="B276" s="104"/>
      <c r="C276" s="104"/>
      <c r="D276" s="104"/>
      <c r="E276" s="104"/>
      <c r="F276" s="105"/>
      <c r="G276" s="106"/>
      <c r="H276" s="107"/>
      <c r="I276" s="285"/>
    </row>
    <row r="277" spans="1:9">
      <c r="A277" s="108"/>
      <c r="B277" s="108"/>
      <c r="C277" s="108"/>
      <c r="D277" s="108"/>
      <c r="E277" s="108"/>
      <c r="F277" s="109"/>
      <c r="G277" s="110"/>
      <c r="H277" s="110"/>
      <c r="I277" s="285"/>
    </row>
    <row r="278" spans="1:9">
      <c r="A278" s="97" t="s">
        <v>791</v>
      </c>
      <c r="B278" s="97" t="s">
        <v>418</v>
      </c>
      <c r="C278" s="97" t="s">
        <v>419</v>
      </c>
      <c r="D278" s="98" t="s">
        <v>420</v>
      </c>
      <c r="E278" s="97" t="s">
        <v>421</v>
      </c>
      <c r="F278" s="99" t="s">
        <v>422</v>
      </c>
      <c r="G278" s="97" t="s">
        <v>423</v>
      </c>
      <c r="H278" s="97" t="s">
        <v>424</v>
      </c>
      <c r="I278" s="285"/>
    </row>
    <row r="279" spans="1:9" ht="42.75">
      <c r="A279" s="100" t="s">
        <v>425</v>
      </c>
      <c r="B279" s="100" t="s">
        <v>792</v>
      </c>
      <c r="C279" s="100" t="s">
        <v>427</v>
      </c>
      <c r="D279" s="101" t="s">
        <v>122</v>
      </c>
      <c r="E279" s="100" t="s">
        <v>451</v>
      </c>
      <c r="F279" s="102">
        <v>1</v>
      </c>
      <c r="G279" s="119" t="s">
        <v>793</v>
      </c>
      <c r="H279" s="119" t="s">
        <v>793</v>
      </c>
      <c r="I279" s="285">
        <f>SUM(I280:I284)</f>
        <v>58.217554349000004</v>
      </c>
    </row>
    <row r="280" spans="1:9" ht="42.75">
      <c r="A280" s="111" t="s">
        <v>434</v>
      </c>
      <c r="B280" s="111" t="s">
        <v>794</v>
      </c>
      <c r="C280" s="111" t="s">
        <v>427</v>
      </c>
      <c r="D280" s="112" t="s">
        <v>795</v>
      </c>
      <c r="E280" s="111" t="s">
        <v>451</v>
      </c>
      <c r="F280" s="113">
        <v>1</v>
      </c>
      <c r="G280" s="121" t="s">
        <v>796</v>
      </c>
      <c r="H280" s="121" t="s">
        <v>796</v>
      </c>
      <c r="I280" s="285">
        <f t="shared" ref="I280:I284" si="30">F280*G280</f>
        <v>4.8099999999999996</v>
      </c>
    </row>
    <row r="281" spans="1:9" ht="28.5">
      <c r="A281" s="111" t="s">
        <v>434</v>
      </c>
      <c r="B281" s="111" t="s">
        <v>797</v>
      </c>
      <c r="C281" s="111" t="s">
        <v>427</v>
      </c>
      <c r="D281" s="112" t="s">
        <v>798</v>
      </c>
      <c r="E281" s="111" t="s">
        <v>464</v>
      </c>
      <c r="F281" s="113">
        <v>0.61111110000000002</v>
      </c>
      <c r="G281" s="121" t="s">
        <v>799</v>
      </c>
      <c r="H281" s="121" t="s">
        <v>800</v>
      </c>
      <c r="I281" s="285">
        <f t="shared" si="30"/>
        <v>14.996666394</v>
      </c>
    </row>
    <row r="282" spans="1:9" ht="28.5">
      <c r="A282" s="111" t="s">
        <v>434</v>
      </c>
      <c r="B282" s="111" t="s">
        <v>491</v>
      </c>
      <c r="C282" s="111" t="s">
        <v>427</v>
      </c>
      <c r="D282" s="112" t="s">
        <v>492</v>
      </c>
      <c r="E282" s="111" t="s">
        <v>464</v>
      </c>
      <c r="F282" s="113">
        <v>0.30555549999999998</v>
      </c>
      <c r="G282" s="121" t="s">
        <v>493</v>
      </c>
      <c r="H282" s="121" t="s">
        <v>801</v>
      </c>
      <c r="I282" s="285">
        <f t="shared" si="30"/>
        <v>5.1363879549999991</v>
      </c>
    </row>
    <row r="283" spans="1:9" ht="28.5">
      <c r="A283" s="115" t="s">
        <v>437</v>
      </c>
      <c r="B283" s="115" t="s">
        <v>802</v>
      </c>
      <c r="C283" s="115" t="s">
        <v>427</v>
      </c>
      <c r="D283" s="116" t="s">
        <v>803</v>
      </c>
      <c r="E283" s="115" t="s">
        <v>476</v>
      </c>
      <c r="F283" s="117">
        <v>4.7249999999999996</v>
      </c>
      <c r="G283" s="120" t="s">
        <v>804</v>
      </c>
      <c r="H283" s="120" t="s">
        <v>805</v>
      </c>
      <c r="I283" s="285">
        <f t="shared" si="30"/>
        <v>2.5514999999999999</v>
      </c>
    </row>
    <row r="284" spans="1:9" ht="28.5">
      <c r="A284" s="115" t="s">
        <v>437</v>
      </c>
      <c r="B284" s="115" t="s">
        <v>806</v>
      </c>
      <c r="C284" s="115" t="s">
        <v>427</v>
      </c>
      <c r="D284" s="116" t="s">
        <v>807</v>
      </c>
      <c r="E284" s="115" t="s">
        <v>451</v>
      </c>
      <c r="F284" s="117">
        <v>1.05</v>
      </c>
      <c r="G284" s="120" t="s">
        <v>808</v>
      </c>
      <c r="H284" s="120" t="s">
        <v>809</v>
      </c>
      <c r="I284" s="285">
        <f t="shared" si="30"/>
        <v>30.723000000000003</v>
      </c>
    </row>
    <row r="285" spans="1:9">
      <c r="A285" s="104"/>
      <c r="B285" s="104"/>
      <c r="C285" s="104"/>
      <c r="D285" s="104"/>
      <c r="E285" s="104"/>
      <c r="F285" s="105"/>
      <c r="G285" s="106"/>
      <c r="H285" s="107"/>
      <c r="I285" s="285"/>
    </row>
    <row r="286" spans="1:9">
      <c r="A286" s="108"/>
      <c r="B286" s="108"/>
      <c r="C286" s="108"/>
      <c r="D286" s="108"/>
      <c r="E286" s="108"/>
      <c r="F286" s="109"/>
      <c r="G286" s="110"/>
      <c r="H286" s="110"/>
      <c r="I286" s="285"/>
    </row>
    <row r="287" spans="1:9" ht="30">
      <c r="A287" s="92" t="s">
        <v>810</v>
      </c>
      <c r="B287" s="92"/>
      <c r="C287" s="92"/>
      <c r="D287" s="93" t="s">
        <v>124</v>
      </c>
      <c r="E287" s="94"/>
      <c r="F287" s="95"/>
      <c r="G287" s="92"/>
      <c r="H287" s="96"/>
      <c r="I287" s="285"/>
    </row>
    <row r="288" spans="1:9">
      <c r="A288" s="97" t="s">
        <v>811</v>
      </c>
      <c r="B288" s="97" t="s">
        <v>418</v>
      </c>
      <c r="C288" s="97" t="s">
        <v>419</v>
      </c>
      <c r="D288" s="98" t="s">
        <v>420</v>
      </c>
      <c r="E288" s="97" t="s">
        <v>421</v>
      </c>
      <c r="F288" s="99" t="s">
        <v>422</v>
      </c>
      <c r="G288" s="97" t="s">
        <v>423</v>
      </c>
      <c r="H288" s="97" t="s">
        <v>424</v>
      </c>
      <c r="I288" s="285"/>
    </row>
    <row r="289" spans="1:9" ht="28.5">
      <c r="A289" s="100" t="s">
        <v>425</v>
      </c>
      <c r="B289" s="100" t="s">
        <v>812</v>
      </c>
      <c r="C289" s="100" t="s">
        <v>431</v>
      </c>
      <c r="D289" s="101" t="s">
        <v>126</v>
      </c>
      <c r="E289" s="100" t="s">
        <v>451</v>
      </c>
      <c r="F289" s="102">
        <v>1</v>
      </c>
      <c r="G289" s="103">
        <v>2.72</v>
      </c>
      <c r="H289" s="103">
        <v>2.72</v>
      </c>
      <c r="I289" s="285">
        <f>SUM(I290:I292)</f>
        <v>2.73278</v>
      </c>
    </row>
    <row r="290" spans="1:9" ht="28.5">
      <c r="A290" s="111" t="s">
        <v>434</v>
      </c>
      <c r="B290" s="111" t="s">
        <v>519</v>
      </c>
      <c r="C290" s="111" t="s">
        <v>431</v>
      </c>
      <c r="D290" s="112" t="s">
        <v>492</v>
      </c>
      <c r="E290" s="111" t="s">
        <v>520</v>
      </c>
      <c r="F290" s="113">
        <v>1.4E-2</v>
      </c>
      <c r="G290" s="114">
        <v>16.809999999999999</v>
      </c>
      <c r="H290" s="114">
        <v>0.23</v>
      </c>
      <c r="I290" s="285">
        <f t="shared" ref="I290:I292" si="31">F290*G290</f>
        <v>0.23533999999999999</v>
      </c>
    </row>
    <row r="291" spans="1:9" ht="28.5">
      <c r="A291" s="111" t="s">
        <v>434</v>
      </c>
      <c r="B291" s="111" t="s">
        <v>813</v>
      </c>
      <c r="C291" s="111" t="s">
        <v>431</v>
      </c>
      <c r="D291" s="112" t="s">
        <v>666</v>
      </c>
      <c r="E291" s="111" t="s">
        <v>520</v>
      </c>
      <c r="F291" s="113">
        <v>3.9E-2</v>
      </c>
      <c r="G291" s="114">
        <v>24.16</v>
      </c>
      <c r="H291" s="114">
        <v>0.94</v>
      </c>
      <c r="I291" s="285">
        <f t="shared" si="31"/>
        <v>0.94223999999999997</v>
      </c>
    </row>
    <row r="292" spans="1:9">
      <c r="A292" s="115" t="s">
        <v>437</v>
      </c>
      <c r="B292" s="115" t="s">
        <v>814</v>
      </c>
      <c r="C292" s="115" t="s">
        <v>431</v>
      </c>
      <c r="D292" s="116" t="s">
        <v>815</v>
      </c>
      <c r="E292" s="115" t="s">
        <v>816</v>
      </c>
      <c r="F292" s="117">
        <v>0.16</v>
      </c>
      <c r="G292" s="118">
        <v>9.7200000000000006</v>
      </c>
      <c r="H292" s="118">
        <v>1.55</v>
      </c>
      <c r="I292" s="285">
        <f t="shared" si="31"/>
        <v>1.5552000000000001</v>
      </c>
    </row>
    <row r="293" spans="1:9">
      <c r="A293" s="104"/>
      <c r="B293" s="104"/>
      <c r="C293" s="104"/>
      <c r="D293" s="104"/>
      <c r="E293" s="104"/>
      <c r="F293" s="105"/>
      <c r="G293" s="106"/>
      <c r="H293" s="107"/>
      <c r="I293" s="285"/>
    </row>
    <row r="294" spans="1:9">
      <c r="A294" s="108"/>
      <c r="B294" s="108"/>
      <c r="C294" s="108"/>
      <c r="D294" s="108"/>
      <c r="E294" s="108"/>
      <c r="F294" s="109"/>
      <c r="G294" s="110"/>
      <c r="H294" s="110"/>
      <c r="I294" s="285"/>
    </row>
    <row r="295" spans="1:9">
      <c r="A295" s="97" t="s">
        <v>817</v>
      </c>
      <c r="B295" s="97" t="s">
        <v>418</v>
      </c>
      <c r="C295" s="97" t="s">
        <v>419</v>
      </c>
      <c r="D295" s="98" t="s">
        <v>420</v>
      </c>
      <c r="E295" s="97" t="s">
        <v>421</v>
      </c>
      <c r="F295" s="99" t="s">
        <v>422</v>
      </c>
      <c r="G295" s="97" t="s">
        <v>423</v>
      </c>
      <c r="H295" s="97" t="s">
        <v>424</v>
      </c>
      <c r="I295" s="285"/>
    </row>
    <row r="296" spans="1:9" ht="28.5">
      <c r="A296" s="100" t="s">
        <v>425</v>
      </c>
      <c r="B296" s="100" t="s">
        <v>818</v>
      </c>
      <c r="C296" s="100" t="s">
        <v>431</v>
      </c>
      <c r="D296" s="101" t="s">
        <v>128</v>
      </c>
      <c r="E296" s="100" t="s">
        <v>451</v>
      </c>
      <c r="F296" s="102">
        <v>1</v>
      </c>
      <c r="G296" s="103">
        <v>12.37</v>
      </c>
      <c r="H296" s="103">
        <v>12.37</v>
      </c>
      <c r="I296" s="285">
        <f>SUM(I297:I299)</f>
        <v>12.39001</v>
      </c>
    </row>
    <row r="297" spans="1:9" ht="28.5">
      <c r="A297" s="111" t="s">
        <v>434</v>
      </c>
      <c r="B297" s="111" t="s">
        <v>519</v>
      </c>
      <c r="C297" s="111" t="s">
        <v>431</v>
      </c>
      <c r="D297" s="112" t="s">
        <v>492</v>
      </c>
      <c r="E297" s="111" t="s">
        <v>520</v>
      </c>
      <c r="F297" s="113">
        <v>6.9000000000000006E-2</v>
      </c>
      <c r="G297" s="114">
        <v>16.809999999999999</v>
      </c>
      <c r="H297" s="114">
        <v>1.1499999999999999</v>
      </c>
      <c r="I297" s="285">
        <f t="shared" ref="I297:I299" si="32">F297*G297</f>
        <v>1.1598900000000001</v>
      </c>
    </row>
    <row r="298" spans="1:9" ht="28.5">
      <c r="A298" s="111" t="s">
        <v>434</v>
      </c>
      <c r="B298" s="111" t="s">
        <v>813</v>
      </c>
      <c r="C298" s="111" t="s">
        <v>431</v>
      </c>
      <c r="D298" s="112" t="s">
        <v>666</v>
      </c>
      <c r="E298" s="111" t="s">
        <v>520</v>
      </c>
      <c r="F298" s="113">
        <v>0.187</v>
      </c>
      <c r="G298" s="114">
        <v>24.16</v>
      </c>
      <c r="H298" s="114">
        <v>4.51</v>
      </c>
      <c r="I298" s="285">
        <f t="shared" si="32"/>
        <v>4.5179200000000002</v>
      </c>
    </row>
    <row r="299" spans="1:9">
      <c r="A299" s="115" t="s">
        <v>437</v>
      </c>
      <c r="B299" s="115" t="s">
        <v>819</v>
      </c>
      <c r="C299" s="115" t="s">
        <v>431</v>
      </c>
      <c r="D299" s="116" t="s">
        <v>820</v>
      </c>
      <c r="E299" s="115" t="s">
        <v>816</v>
      </c>
      <c r="F299" s="117">
        <v>0.33</v>
      </c>
      <c r="G299" s="118">
        <v>20.34</v>
      </c>
      <c r="H299" s="118">
        <v>6.71</v>
      </c>
      <c r="I299" s="285">
        <f t="shared" si="32"/>
        <v>6.7122000000000002</v>
      </c>
    </row>
    <row r="300" spans="1:9">
      <c r="A300" s="104"/>
      <c r="B300" s="104"/>
      <c r="C300" s="104"/>
      <c r="D300" s="104"/>
      <c r="E300" s="104"/>
      <c r="F300" s="105"/>
      <c r="G300" s="106"/>
      <c r="H300" s="107"/>
      <c r="I300" s="285"/>
    </row>
    <row r="301" spans="1:9">
      <c r="A301" s="108"/>
      <c r="B301" s="108"/>
      <c r="C301" s="108"/>
      <c r="D301" s="108"/>
      <c r="E301" s="108"/>
      <c r="F301" s="109"/>
      <c r="G301" s="110"/>
      <c r="H301" s="110"/>
      <c r="I301" s="285"/>
    </row>
    <row r="302" spans="1:9">
      <c r="A302" s="97" t="s">
        <v>821</v>
      </c>
      <c r="B302" s="97" t="s">
        <v>418</v>
      </c>
      <c r="C302" s="97" t="s">
        <v>419</v>
      </c>
      <c r="D302" s="98" t="s">
        <v>420</v>
      </c>
      <c r="E302" s="97" t="s">
        <v>421</v>
      </c>
      <c r="F302" s="99" t="s">
        <v>422</v>
      </c>
      <c r="G302" s="97" t="s">
        <v>423</v>
      </c>
      <c r="H302" s="97" t="s">
        <v>424</v>
      </c>
      <c r="I302" s="285"/>
    </row>
    <row r="303" spans="1:9" ht="42.75">
      <c r="A303" s="100" t="s">
        <v>425</v>
      </c>
      <c r="B303" s="100" t="s">
        <v>822</v>
      </c>
      <c r="C303" s="100" t="s">
        <v>431</v>
      </c>
      <c r="D303" s="101" t="s">
        <v>130</v>
      </c>
      <c r="E303" s="100" t="s">
        <v>451</v>
      </c>
      <c r="F303" s="102">
        <v>1</v>
      </c>
      <c r="G303" s="103">
        <v>9.33</v>
      </c>
      <c r="H303" s="103">
        <v>9.33</v>
      </c>
      <c r="I303" s="285">
        <f>SUM(I304:I306)</f>
        <v>9.3474730000000008</v>
      </c>
    </row>
    <row r="304" spans="1:9" ht="28.5">
      <c r="A304" s="111" t="s">
        <v>434</v>
      </c>
      <c r="B304" s="111" t="s">
        <v>813</v>
      </c>
      <c r="C304" s="111" t="s">
        <v>431</v>
      </c>
      <c r="D304" s="112" t="s">
        <v>666</v>
      </c>
      <c r="E304" s="111" t="s">
        <v>520</v>
      </c>
      <c r="F304" s="113">
        <v>6.3500000000000001E-2</v>
      </c>
      <c r="G304" s="114">
        <v>24.16</v>
      </c>
      <c r="H304" s="114">
        <v>1.53</v>
      </c>
      <c r="I304" s="285">
        <f t="shared" ref="I304:I306" si="33">F304*G304</f>
        <v>1.53416</v>
      </c>
    </row>
    <row r="305" spans="1:9">
      <c r="A305" s="115" t="s">
        <v>437</v>
      </c>
      <c r="B305" s="115" t="s">
        <v>823</v>
      </c>
      <c r="C305" s="115" t="s">
        <v>431</v>
      </c>
      <c r="D305" s="116" t="s">
        <v>824</v>
      </c>
      <c r="E305" s="115" t="s">
        <v>816</v>
      </c>
      <c r="F305" s="117">
        <v>5.7500000000000002E-2</v>
      </c>
      <c r="G305" s="118">
        <v>18.55</v>
      </c>
      <c r="H305" s="118">
        <v>1.06</v>
      </c>
      <c r="I305" s="285">
        <f t="shared" si="33"/>
        <v>1.0666250000000002</v>
      </c>
    </row>
    <row r="306" spans="1:9">
      <c r="A306" s="115" t="s">
        <v>437</v>
      </c>
      <c r="B306" s="115" t="s">
        <v>825</v>
      </c>
      <c r="C306" s="115" t="s">
        <v>431</v>
      </c>
      <c r="D306" s="116" t="s">
        <v>826</v>
      </c>
      <c r="E306" s="115" t="s">
        <v>816</v>
      </c>
      <c r="F306" s="117">
        <v>0.1908</v>
      </c>
      <c r="G306" s="118">
        <v>35.36</v>
      </c>
      <c r="H306" s="118">
        <v>6.74</v>
      </c>
      <c r="I306" s="285">
        <f t="shared" si="33"/>
        <v>6.7466879999999998</v>
      </c>
    </row>
    <row r="307" spans="1:9">
      <c r="A307" s="104"/>
      <c r="B307" s="104"/>
      <c r="C307" s="104"/>
      <c r="D307" s="104"/>
      <c r="E307" s="104"/>
      <c r="F307" s="105"/>
      <c r="G307" s="106"/>
      <c r="H307" s="107"/>
      <c r="I307" s="285"/>
    </row>
    <row r="308" spans="1:9">
      <c r="A308" s="108"/>
      <c r="B308" s="108"/>
      <c r="C308" s="108"/>
      <c r="D308" s="108"/>
      <c r="E308" s="108"/>
      <c r="F308" s="109"/>
      <c r="G308" s="110"/>
      <c r="H308" s="110"/>
      <c r="I308" s="285"/>
    </row>
    <row r="309" spans="1:9">
      <c r="A309" s="97" t="s">
        <v>827</v>
      </c>
      <c r="B309" s="97" t="s">
        <v>418</v>
      </c>
      <c r="C309" s="97" t="s">
        <v>419</v>
      </c>
      <c r="D309" s="98" t="s">
        <v>420</v>
      </c>
      <c r="E309" s="97" t="s">
        <v>421</v>
      </c>
      <c r="F309" s="99" t="s">
        <v>422</v>
      </c>
      <c r="G309" s="97" t="s">
        <v>423</v>
      </c>
      <c r="H309" s="97" t="s">
        <v>424</v>
      </c>
      <c r="I309" s="285"/>
    </row>
    <row r="310" spans="1:9" ht="57">
      <c r="A310" s="100" t="s">
        <v>425</v>
      </c>
      <c r="B310" s="100" t="s">
        <v>828</v>
      </c>
      <c r="C310" s="100" t="s">
        <v>431</v>
      </c>
      <c r="D310" s="101" t="s">
        <v>132</v>
      </c>
      <c r="E310" s="100" t="s">
        <v>451</v>
      </c>
      <c r="F310" s="102">
        <v>1</v>
      </c>
      <c r="G310" s="103">
        <v>41.47</v>
      </c>
      <c r="H310" s="103">
        <v>41.47</v>
      </c>
      <c r="I310" s="285">
        <f>SUM(I311:I313)</f>
        <v>41.480377999999995</v>
      </c>
    </row>
    <row r="311" spans="1:9" ht="28.5">
      <c r="A311" s="111" t="s">
        <v>434</v>
      </c>
      <c r="B311" s="111" t="s">
        <v>813</v>
      </c>
      <c r="C311" s="111" t="s">
        <v>431</v>
      </c>
      <c r="D311" s="112" t="s">
        <v>666</v>
      </c>
      <c r="E311" s="111" t="s">
        <v>520</v>
      </c>
      <c r="F311" s="113">
        <v>1.0530999999999999</v>
      </c>
      <c r="G311" s="114">
        <v>24.16</v>
      </c>
      <c r="H311" s="114">
        <v>25.44</v>
      </c>
      <c r="I311" s="285">
        <f t="shared" ref="I311:I313" si="34">F311*G311</f>
        <v>25.442895999999998</v>
      </c>
    </row>
    <row r="312" spans="1:9">
      <c r="A312" s="115" t="s">
        <v>437</v>
      </c>
      <c r="B312" s="115" t="s">
        <v>823</v>
      </c>
      <c r="C312" s="115" t="s">
        <v>431</v>
      </c>
      <c r="D312" s="116" t="s">
        <v>824</v>
      </c>
      <c r="E312" s="115" t="s">
        <v>816</v>
      </c>
      <c r="F312" s="117">
        <v>0.124</v>
      </c>
      <c r="G312" s="118">
        <v>18.55</v>
      </c>
      <c r="H312" s="118">
        <v>2.2999999999999998</v>
      </c>
      <c r="I312" s="285">
        <f t="shared" si="34"/>
        <v>2.3002000000000002</v>
      </c>
    </row>
    <row r="313" spans="1:9">
      <c r="A313" s="115" t="s">
        <v>437</v>
      </c>
      <c r="B313" s="115" t="s">
        <v>829</v>
      </c>
      <c r="C313" s="115" t="s">
        <v>431</v>
      </c>
      <c r="D313" s="116" t="s">
        <v>830</v>
      </c>
      <c r="E313" s="115" t="s">
        <v>816</v>
      </c>
      <c r="F313" s="117">
        <v>0.41339999999999999</v>
      </c>
      <c r="G313" s="118">
        <v>33.229999999999997</v>
      </c>
      <c r="H313" s="118">
        <v>13.73</v>
      </c>
      <c r="I313" s="285">
        <f t="shared" si="34"/>
        <v>13.737281999999999</v>
      </c>
    </row>
    <row r="314" spans="1:9">
      <c r="A314" s="104"/>
      <c r="B314" s="104"/>
      <c r="C314" s="104"/>
      <c r="D314" s="104"/>
      <c r="E314" s="104"/>
      <c r="F314" s="105"/>
      <c r="G314" s="106"/>
      <c r="H314" s="107"/>
      <c r="I314" s="285"/>
    </row>
    <row r="315" spans="1:9">
      <c r="A315" s="108"/>
      <c r="B315" s="108"/>
      <c r="C315" s="108"/>
      <c r="D315" s="108"/>
      <c r="E315" s="108"/>
      <c r="F315" s="109"/>
      <c r="G315" s="110"/>
      <c r="H315" s="110"/>
      <c r="I315" s="285"/>
    </row>
    <row r="316" spans="1:9">
      <c r="A316" s="92" t="s">
        <v>831</v>
      </c>
      <c r="B316" s="92"/>
      <c r="C316" s="92"/>
      <c r="D316" s="93" t="s">
        <v>134</v>
      </c>
      <c r="E316" s="94"/>
      <c r="F316" s="95"/>
      <c r="G316" s="92"/>
      <c r="H316" s="96"/>
      <c r="I316" s="285"/>
    </row>
    <row r="317" spans="1:9">
      <c r="A317" s="97" t="s">
        <v>832</v>
      </c>
      <c r="B317" s="97" t="s">
        <v>418</v>
      </c>
      <c r="C317" s="97" t="s">
        <v>419</v>
      </c>
      <c r="D317" s="98" t="s">
        <v>420</v>
      </c>
      <c r="E317" s="97" t="s">
        <v>421</v>
      </c>
      <c r="F317" s="99" t="s">
        <v>422</v>
      </c>
      <c r="G317" s="97" t="s">
        <v>423</v>
      </c>
      <c r="H317" s="97" t="s">
        <v>424</v>
      </c>
      <c r="I317" s="285"/>
    </row>
    <row r="318" spans="1:9" ht="28.5">
      <c r="A318" s="100" t="s">
        <v>425</v>
      </c>
      <c r="B318" s="100" t="s">
        <v>833</v>
      </c>
      <c r="C318" s="100" t="s">
        <v>431</v>
      </c>
      <c r="D318" s="101" t="s">
        <v>136</v>
      </c>
      <c r="E318" s="100" t="s">
        <v>451</v>
      </c>
      <c r="F318" s="102">
        <v>1</v>
      </c>
      <c r="G318" s="103">
        <v>14.37</v>
      </c>
      <c r="H318" s="103">
        <v>14.37</v>
      </c>
      <c r="I318" s="285">
        <f>SUM(I319:I321)</f>
        <v>14.391099999999998</v>
      </c>
    </row>
    <row r="319" spans="1:9" ht="28.5">
      <c r="A319" s="111" t="s">
        <v>434</v>
      </c>
      <c r="B319" s="111" t="s">
        <v>519</v>
      </c>
      <c r="C319" s="111" t="s">
        <v>431</v>
      </c>
      <c r="D319" s="112" t="s">
        <v>492</v>
      </c>
      <c r="E319" s="111" t="s">
        <v>520</v>
      </c>
      <c r="F319" s="113">
        <v>4.3999999999999997E-2</v>
      </c>
      <c r="G319" s="114">
        <v>16.809999999999999</v>
      </c>
      <c r="H319" s="114">
        <v>0.73</v>
      </c>
      <c r="I319" s="285">
        <f t="shared" ref="I319:I321" si="35">F319*G319</f>
        <v>0.73963999999999985</v>
      </c>
    </row>
    <row r="320" spans="1:9" ht="28.5">
      <c r="A320" s="111" t="s">
        <v>434</v>
      </c>
      <c r="B320" s="111" t="s">
        <v>813</v>
      </c>
      <c r="C320" s="111" t="s">
        <v>431</v>
      </c>
      <c r="D320" s="112" t="s">
        <v>666</v>
      </c>
      <c r="E320" s="111" t="s">
        <v>520</v>
      </c>
      <c r="F320" s="113">
        <v>0.17599999999999999</v>
      </c>
      <c r="G320" s="114">
        <v>24.16</v>
      </c>
      <c r="H320" s="114">
        <v>4.25</v>
      </c>
      <c r="I320" s="285">
        <f t="shared" si="35"/>
        <v>4.2521599999999999</v>
      </c>
    </row>
    <row r="321" spans="1:9" ht="28.5">
      <c r="A321" s="115" t="s">
        <v>437</v>
      </c>
      <c r="B321" s="115" t="s">
        <v>834</v>
      </c>
      <c r="C321" s="115" t="s">
        <v>431</v>
      </c>
      <c r="D321" s="116" t="s">
        <v>835</v>
      </c>
      <c r="E321" s="115" t="s">
        <v>60</v>
      </c>
      <c r="F321" s="117">
        <v>1.9379999999999999</v>
      </c>
      <c r="G321" s="118">
        <v>4.8499999999999996</v>
      </c>
      <c r="H321" s="118">
        <v>9.39</v>
      </c>
      <c r="I321" s="285">
        <f t="shared" si="35"/>
        <v>9.3992999999999984</v>
      </c>
    </row>
    <row r="322" spans="1:9">
      <c r="A322" s="104"/>
      <c r="B322" s="104"/>
      <c r="C322" s="104"/>
      <c r="D322" s="104"/>
      <c r="E322" s="104"/>
      <c r="F322" s="105"/>
      <c r="G322" s="106"/>
      <c r="H322" s="107"/>
      <c r="I322" s="285"/>
    </row>
    <row r="323" spans="1:9">
      <c r="A323" s="108"/>
      <c r="B323" s="108"/>
      <c r="C323" s="108"/>
      <c r="D323" s="108"/>
      <c r="E323" s="108"/>
      <c r="F323" s="109"/>
      <c r="G323" s="110"/>
      <c r="H323" s="110"/>
      <c r="I323" s="285"/>
    </row>
    <row r="324" spans="1:9">
      <c r="A324" s="92" t="s">
        <v>836</v>
      </c>
      <c r="B324" s="92"/>
      <c r="C324" s="92"/>
      <c r="D324" s="93" t="s">
        <v>138</v>
      </c>
      <c r="E324" s="94"/>
      <c r="F324" s="95"/>
      <c r="G324" s="92"/>
      <c r="H324" s="96"/>
      <c r="I324" s="285"/>
    </row>
    <row r="325" spans="1:9">
      <c r="A325" s="97" t="s">
        <v>837</v>
      </c>
      <c r="B325" s="97" t="s">
        <v>418</v>
      </c>
      <c r="C325" s="97" t="s">
        <v>419</v>
      </c>
      <c r="D325" s="98" t="s">
        <v>420</v>
      </c>
      <c r="E325" s="97" t="s">
        <v>421</v>
      </c>
      <c r="F325" s="99" t="s">
        <v>422</v>
      </c>
      <c r="G325" s="97" t="s">
        <v>423</v>
      </c>
      <c r="H325" s="97" t="s">
        <v>424</v>
      </c>
      <c r="I325" s="285"/>
    </row>
    <row r="326" spans="1:9" ht="42.75">
      <c r="A326" s="100" t="s">
        <v>425</v>
      </c>
      <c r="B326" s="100" t="s">
        <v>838</v>
      </c>
      <c r="C326" s="100" t="s">
        <v>431</v>
      </c>
      <c r="D326" s="101" t="s">
        <v>140</v>
      </c>
      <c r="E326" s="100" t="s">
        <v>451</v>
      </c>
      <c r="F326" s="102">
        <v>1</v>
      </c>
      <c r="G326" s="103">
        <v>47.11</v>
      </c>
      <c r="H326" s="103">
        <v>47.11</v>
      </c>
      <c r="I326" s="285">
        <f>SUM(I327:I331)</f>
        <v>47.126199999999997</v>
      </c>
    </row>
    <row r="327" spans="1:9" ht="28.5">
      <c r="A327" s="111" t="s">
        <v>434</v>
      </c>
      <c r="B327" s="111" t="s">
        <v>519</v>
      </c>
      <c r="C327" s="111" t="s">
        <v>431</v>
      </c>
      <c r="D327" s="112" t="s">
        <v>492</v>
      </c>
      <c r="E327" s="111" t="s">
        <v>520</v>
      </c>
      <c r="F327" s="113">
        <v>0.15</v>
      </c>
      <c r="G327" s="114">
        <v>16.809999999999999</v>
      </c>
      <c r="H327" s="114">
        <v>2.52</v>
      </c>
      <c r="I327" s="285">
        <f t="shared" ref="I327:I331" si="36">F327*G327</f>
        <v>2.5214999999999996</v>
      </c>
    </row>
    <row r="328" spans="1:9" ht="28.5">
      <c r="A328" s="111" t="s">
        <v>434</v>
      </c>
      <c r="B328" s="111" t="s">
        <v>839</v>
      </c>
      <c r="C328" s="111" t="s">
        <v>431</v>
      </c>
      <c r="D328" s="112" t="s">
        <v>840</v>
      </c>
      <c r="E328" s="111" t="s">
        <v>520</v>
      </c>
      <c r="F328" s="113">
        <v>0.26</v>
      </c>
      <c r="G328" s="114">
        <v>24.54</v>
      </c>
      <c r="H328" s="114">
        <v>6.38</v>
      </c>
      <c r="I328" s="285">
        <f t="shared" si="36"/>
        <v>6.3803999999999998</v>
      </c>
    </row>
    <row r="329" spans="1:9">
      <c r="A329" s="115" t="s">
        <v>437</v>
      </c>
      <c r="B329" s="115" t="s">
        <v>841</v>
      </c>
      <c r="C329" s="115" t="s">
        <v>431</v>
      </c>
      <c r="D329" s="116" t="s">
        <v>842</v>
      </c>
      <c r="E329" s="115" t="s">
        <v>60</v>
      </c>
      <c r="F329" s="117">
        <v>6.14</v>
      </c>
      <c r="G329" s="118">
        <v>0.63</v>
      </c>
      <c r="H329" s="118">
        <v>3.86</v>
      </c>
      <c r="I329" s="285">
        <f t="shared" si="36"/>
        <v>3.8681999999999999</v>
      </c>
    </row>
    <row r="330" spans="1:9" ht="28.5">
      <c r="A330" s="115" t="s">
        <v>437</v>
      </c>
      <c r="B330" s="115" t="s">
        <v>843</v>
      </c>
      <c r="C330" s="115" t="s">
        <v>431</v>
      </c>
      <c r="D330" s="116" t="s">
        <v>844</v>
      </c>
      <c r="E330" s="115" t="s">
        <v>451</v>
      </c>
      <c r="F330" s="117">
        <v>1.06</v>
      </c>
      <c r="G330" s="118">
        <v>31.75</v>
      </c>
      <c r="H330" s="118">
        <v>33.65</v>
      </c>
      <c r="I330" s="285">
        <f t="shared" si="36"/>
        <v>33.655000000000001</v>
      </c>
    </row>
    <row r="331" spans="1:9">
      <c r="A331" s="115" t="s">
        <v>437</v>
      </c>
      <c r="B331" s="115" t="s">
        <v>845</v>
      </c>
      <c r="C331" s="115" t="s">
        <v>431</v>
      </c>
      <c r="D331" s="116" t="s">
        <v>846</v>
      </c>
      <c r="E331" s="115" t="s">
        <v>60</v>
      </c>
      <c r="F331" s="117">
        <v>0.19</v>
      </c>
      <c r="G331" s="118">
        <v>3.69</v>
      </c>
      <c r="H331" s="118">
        <v>0.7</v>
      </c>
      <c r="I331" s="285">
        <f t="shared" si="36"/>
        <v>0.70109999999999995</v>
      </c>
    </row>
    <row r="332" spans="1:9">
      <c r="A332" s="104"/>
      <c r="B332" s="104"/>
      <c r="C332" s="104"/>
      <c r="D332" s="104"/>
      <c r="E332" s="104"/>
      <c r="F332" s="105"/>
      <c r="G332" s="106"/>
      <c r="H332" s="107"/>
      <c r="I332" s="285"/>
    </row>
    <row r="333" spans="1:9">
      <c r="A333" s="108"/>
      <c r="B333" s="108"/>
      <c r="C333" s="108"/>
      <c r="D333" s="108"/>
      <c r="E333" s="108"/>
      <c r="F333" s="109"/>
      <c r="G333" s="110"/>
      <c r="H333" s="110"/>
      <c r="I333" s="285"/>
    </row>
    <row r="334" spans="1:9">
      <c r="A334" s="97" t="s">
        <v>847</v>
      </c>
      <c r="B334" s="97" t="s">
        <v>418</v>
      </c>
      <c r="C334" s="97" t="s">
        <v>419</v>
      </c>
      <c r="D334" s="98" t="s">
        <v>420</v>
      </c>
      <c r="E334" s="97" t="s">
        <v>421</v>
      </c>
      <c r="F334" s="99" t="s">
        <v>422</v>
      </c>
      <c r="G334" s="97" t="s">
        <v>423</v>
      </c>
      <c r="H334" s="97" t="s">
        <v>424</v>
      </c>
      <c r="I334" s="285"/>
    </row>
    <row r="335" spans="1:9" ht="42.75">
      <c r="A335" s="100" t="s">
        <v>425</v>
      </c>
      <c r="B335" s="100" t="s">
        <v>848</v>
      </c>
      <c r="C335" s="100" t="s">
        <v>431</v>
      </c>
      <c r="D335" s="101" t="s">
        <v>849</v>
      </c>
      <c r="E335" s="100" t="s">
        <v>451</v>
      </c>
      <c r="F335" s="102">
        <v>1</v>
      </c>
      <c r="G335" s="103">
        <v>39.01</v>
      </c>
      <c r="H335" s="103">
        <v>39.01</v>
      </c>
      <c r="I335" s="285">
        <f>SUM(I336:I340)</f>
        <v>39.033192</v>
      </c>
    </row>
    <row r="336" spans="1:9" ht="42.75">
      <c r="A336" s="111" t="s">
        <v>434</v>
      </c>
      <c r="B336" s="111" t="s">
        <v>850</v>
      </c>
      <c r="C336" s="111" t="s">
        <v>431</v>
      </c>
      <c r="D336" s="112" t="s">
        <v>851</v>
      </c>
      <c r="E336" s="111" t="s">
        <v>468</v>
      </c>
      <c r="F336" s="113">
        <v>4.3099999999999999E-2</v>
      </c>
      <c r="G336" s="114">
        <v>570.82000000000005</v>
      </c>
      <c r="H336" s="114">
        <v>24.6</v>
      </c>
      <c r="I336" s="285">
        <f t="shared" ref="I336:I340" si="37">F336*G336</f>
        <v>24.602342</v>
      </c>
    </row>
    <row r="337" spans="1:18" ht="28.5">
      <c r="A337" s="111" t="s">
        <v>434</v>
      </c>
      <c r="B337" s="111" t="s">
        <v>519</v>
      </c>
      <c r="C337" s="111" t="s">
        <v>431</v>
      </c>
      <c r="D337" s="112" t="s">
        <v>492</v>
      </c>
      <c r="E337" s="111" t="s">
        <v>520</v>
      </c>
      <c r="F337" s="113">
        <v>0.19500000000000001</v>
      </c>
      <c r="G337" s="114">
        <v>16.809999999999999</v>
      </c>
      <c r="H337" s="114">
        <v>3.27</v>
      </c>
      <c r="I337" s="285">
        <f t="shared" si="37"/>
        <v>3.2779499999999997</v>
      </c>
    </row>
    <row r="338" spans="1:18" ht="28.5">
      <c r="A338" s="111" t="s">
        <v>434</v>
      </c>
      <c r="B338" s="111" t="s">
        <v>521</v>
      </c>
      <c r="C338" s="111" t="s">
        <v>431</v>
      </c>
      <c r="D338" s="112" t="s">
        <v>522</v>
      </c>
      <c r="E338" s="111" t="s">
        <v>520</v>
      </c>
      <c r="F338" s="113">
        <v>0.38900000000000001</v>
      </c>
      <c r="G338" s="114">
        <v>23.1</v>
      </c>
      <c r="H338" s="114">
        <v>8.98</v>
      </c>
      <c r="I338" s="285">
        <f t="shared" si="37"/>
        <v>8.9859000000000009</v>
      </c>
    </row>
    <row r="339" spans="1:18">
      <c r="A339" s="115" t="s">
        <v>437</v>
      </c>
      <c r="B339" s="115" t="s">
        <v>852</v>
      </c>
      <c r="C339" s="115" t="s">
        <v>431</v>
      </c>
      <c r="D339" s="116" t="s">
        <v>853</v>
      </c>
      <c r="E339" s="115" t="s">
        <v>60</v>
      </c>
      <c r="F339" s="117">
        <v>0.5</v>
      </c>
      <c r="G339" s="118">
        <v>0.66</v>
      </c>
      <c r="H339" s="118">
        <v>0.33</v>
      </c>
      <c r="I339" s="285">
        <f t="shared" si="37"/>
        <v>0.33</v>
      </c>
    </row>
    <row r="340" spans="1:18" ht="28.5">
      <c r="A340" s="115" t="s">
        <v>437</v>
      </c>
      <c r="B340" s="115" t="s">
        <v>854</v>
      </c>
      <c r="C340" s="115" t="s">
        <v>431</v>
      </c>
      <c r="D340" s="116" t="s">
        <v>855</v>
      </c>
      <c r="E340" s="115" t="s">
        <v>31</v>
      </c>
      <c r="F340" s="117">
        <v>1.67</v>
      </c>
      <c r="G340" s="118">
        <v>1.1000000000000001</v>
      </c>
      <c r="H340" s="118">
        <v>1.83</v>
      </c>
      <c r="I340" s="285">
        <f t="shared" si="37"/>
        <v>1.837</v>
      </c>
    </row>
    <row r="341" spans="1:18">
      <c r="A341" s="104"/>
      <c r="B341" s="104"/>
      <c r="C341" s="104"/>
      <c r="D341" s="104"/>
      <c r="E341" s="104"/>
      <c r="F341" s="105"/>
      <c r="G341" s="106"/>
      <c r="H341" s="107"/>
      <c r="I341" s="285"/>
    </row>
    <row r="342" spans="1:18">
      <c r="A342" s="108"/>
      <c r="B342" s="108"/>
      <c r="C342" s="108"/>
      <c r="D342" s="108"/>
      <c r="E342" s="108"/>
      <c r="F342" s="109"/>
      <c r="G342" s="110"/>
      <c r="H342" s="110"/>
      <c r="I342" s="285"/>
    </row>
    <row r="343" spans="1:18">
      <c r="A343" s="97" t="s">
        <v>856</v>
      </c>
      <c r="B343" s="97" t="s">
        <v>418</v>
      </c>
      <c r="C343" s="97" t="s">
        <v>419</v>
      </c>
      <c r="D343" s="98" t="s">
        <v>420</v>
      </c>
      <c r="E343" s="97" t="s">
        <v>421</v>
      </c>
      <c r="F343" s="99" t="s">
        <v>422</v>
      </c>
      <c r="G343" s="97" t="s">
        <v>423</v>
      </c>
      <c r="H343" s="97" t="s">
        <v>424</v>
      </c>
      <c r="I343" s="285"/>
    </row>
    <row r="344" spans="1:18" ht="28.5">
      <c r="A344" s="100" t="s">
        <v>425</v>
      </c>
      <c r="B344" s="100" t="s">
        <v>857</v>
      </c>
      <c r="C344" s="100" t="s">
        <v>427</v>
      </c>
      <c r="D344" s="101" t="s">
        <v>145</v>
      </c>
      <c r="E344" s="100" t="s">
        <v>31</v>
      </c>
      <c r="F344" s="102">
        <v>1</v>
      </c>
      <c r="G344" s="119">
        <v>8.91</v>
      </c>
      <c r="H344" s="119">
        <v>8.91</v>
      </c>
      <c r="I344" s="285">
        <f>SUM(I345:I349)</f>
        <v>8.9278000000000013</v>
      </c>
      <c r="J344" s="100" t="s">
        <v>425</v>
      </c>
      <c r="K344" s="100" t="s">
        <v>857</v>
      </c>
      <c r="L344" s="100" t="s">
        <v>427</v>
      </c>
      <c r="M344" s="101" t="s">
        <v>145</v>
      </c>
      <c r="N344" s="100" t="s">
        <v>31</v>
      </c>
      <c r="O344" s="102">
        <v>1</v>
      </c>
      <c r="P344" s="119" t="s">
        <v>858</v>
      </c>
      <c r="Q344" s="119" t="s">
        <v>858</v>
      </c>
      <c r="R344" s="285">
        <f>SUM(R345:R349)</f>
        <v>8.4560499999999994</v>
      </c>
    </row>
    <row r="345" spans="1:18" ht="42.75">
      <c r="A345" s="111" t="s">
        <v>434</v>
      </c>
      <c r="B345" s="111" t="s">
        <v>794</v>
      </c>
      <c r="C345" s="111" t="s">
        <v>427</v>
      </c>
      <c r="D345" s="112" t="s">
        <v>795</v>
      </c>
      <c r="E345" s="111" t="s">
        <v>451</v>
      </c>
      <c r="F345" s="113">
        <v>5.5E-2</v>
      </c>
      <c r="G345" s="121">
        <v>4.8099999999999996</v>
      </c>
      <c r="H345" s="121">
        <v>0.26</v>
      </c>
      <c r="I345" s="285">
        <f t="shared" ref="I345:I349" si="38">F345*G345</f>
        <v>0.26455000000000001</v>
      </c>
      <c r="J345" s="111" t="s">
        <v>434</v>
      </c>
      <c r="K345" s="111" t="s">
        <v>794</v>
      </c>
      <c r="L345" s="111" t="s">
        <v>427</v>
      </c>
      <c r="M345" s="112" t="s">
        <v>795</v>
      </c>
      <c r="N345" s="111" t="s">
        <v>451</v>
      </c>
      <c r="O345" s="113">
        <v>5.5E-2</v>
      </c>
      <c r="P345" s="121" t="s">
        <v>796</v>
      </c>
      <c r="Q345" s="121" t="s">
        <v>473</v>
      </c>
      <c r="R345" s="285">
        <f t="shared" ref="R345:R349" si="39">O345*P345</f>
        <v>0.26455000000000001</v>
      </c>
    </row>
    <row r="346" spans="1:18" ht="28.5">
      <c r="A346" s="283" t="s">
        <v>434</v>
      </c>
      <c r="B346" s="283" t="s">
        <v>491</v>
      </c>
      <c r="C346" s="283" t="s">
        <v>427</v>
      </c>
      <c r="D346" s="284" t="s">
        <v>492</v>
      </c>
      <c r="E346" s="283" t="s">
        <v>1576</v>
      </c>
      <c r="F346" s="292">
        <v>7.4999999999999997E-2</v>
      </c>
      <c r="G346" s="293">
        <v>16.809999999999999</v>
      </c>
      <c r="H346" s="121">
        <v>1.26</v>
      </c>
      <c r="I346" s="285">
        <f t="shared" si="38"/>
        <v>1.2607499999999998</v>
      </c>
      <c r="J346" s="281" t="s">
        <v>434</v>
      </c>
      <c r="K346" s="281" t="s">
        <v>536</v>
      </c>
      <c r="L346" s="281" t="s">
        <v>427</v>
      </c>
      <c r="M346" s="282" t="s">
        <v>522</v>
      </c>
      <c r="N346" s="281" t="s">
        <v>464</v>
      </c>
      <c r="O346" s="294">
        <v>0.15</v>
      </c>
      <c r="P346" s="295" t="s">
        <v>493</v>
      </c>
      <c r="Q346" s="121" t="s">
        <v>859</v>
      </c>
      <c r="R346" s="285">
        <f t="shared" si="39"/>
        <v>2.5214999999999996</v>
      </c>
    </row>
    <row r="347" spans="1:18" ht="28.5">
      <c r="A347" s="283" t="s">
        <v>434</v>
      </c>
      <c r="B347" s="283" t="s">
        <v>536</v>
      </c>
      <c r="C347" s="283" t="s">
        <v>427</v>
      </c>
      <c r="D347" s="284" t="s">
        <v>522</v>
      </c>
      <c r="E347" s="283" t="s">
        <v>1576</v>
      </c>
      <c r="F347" s="292">
        <v>0.15</v>
      </c>
      <c r="G347" s="293">
        <v>23.1</v>
      </c>
      <c r="H347" s="121">
        <v>3.46</v>
      </c>
      <c r="I347" s="285">
        <f t="shared" si="38"/>
        <v>3.4650000000000003</v>
      </c>
      <c r="J347" s="281" t="s">
        <v>434</v>
      </c>
      <c r="K347" s="281" t="s">
        <v>491</v>
      </c>
      <c r="L347" s="281" t="s">
        <v>427</v>
      </c>
      <c r="M347" s="282" t="s">
        <v>492</v>
      </c>
      <c r="N347" s="281" t="s">
        <v>464</v>
      </c>
      <c r="O347" s="294">
        <v>7.4999999999999997E-2</v>
      </c>
      <c r="P347" s="295" t="s">
        <v>537</v>
      </c>
      <c r="Q347" s="121" t="s">
        <v>860</v>
      </c>
      <c r="R347" s="285">
        <f t="shared" si="39"/>
        <v>1.7325000000000002</v>
      </c>
    </row>
    <row r="348" spans="1:18" ht="28.5">
      <c r="A348" s="115" t="s">
        <v>437</v>
      </c>
      <c r="B348" s="115" t="s">
        <v>861</v>
      </c>
      <c r="C348" s="115" t="s">
        <v>427</v>
      </c>
      <c r="D348" s="116" t="s">
        <v>862</v>
      </c>
      <c r="E348" s="115" t="s">
        <v>476</v>
      </c>
      <c r="F348" s="117">
        <v>0.25</v>
      </c>
      <c r="G348" s="120">
        <v>1.68</v>
      </c>
      <c r="H348" s="120">
        <v>0.42</v>
      </c>
      <c r="I348" s="285">
        <f t="shared" si="38"/>
        <v>0.42</v>
      </c>
      <c r="J348" s="115" t="s">
        <v>437</v>
      </c>
      <c r="K348" s="115" t="s">
        <v>861</v>
      </c>
      <c r="L348" s="115" t="s">
        <v>427</v>
      </c>
      <c r="M348" s="116" t="s">
        <v>862</v>
      </c>
      <c r="N348" s="115" t="s">
        <v>476</v>
      </c>
      <c r="O348" s="117">
        <v>0.25</v>
      </c>
      <c r="P348" s="120" t="s">
        <v>606</v>
      </c>
      <c r="Q348" s="120" t="s">
        <v>863</v>
      </c>
      <c r="R348" s="285">
        <f t="shared" si="39"/>
        <v>0.42</v>
      </c>
    </row>
    <row r="349" spans="1:18" ht="28.5">
      <c r="A349" s="115" t="s">
        <v>437</v>
      </c>
      <c r="B349" s="115" t="s">
        <v>864</v>
      </c>
      <c r="C349" s="115" t="s">
        <v>427</v>
      </c>
      <c r="D349" s="116" t="s">
        <v>865</v>
      </c>
      <c r="E349" s="115" t="s">
        <v>472</v>
      </c>
      <c r="F349" s="117">
        <v>1.05</v>
      </c>
      <c r="G349" s="120">
        <v>3.35</v>
      </c>
      <c r="H349" s="120">
        <v>3.51</v>
      </c>
      <c r="I349" s="285">
        <f t="shared" si="38"/>
        <v>3.5175000000000001</v>
      </c>
      <c r="J349" s="115" t="s">
        <v>437</v>
      </c>
      <c r="K349" s="115" t="s">
        <v>864</v>
      </c>
      <c r="L349" s="115" t="s">
        <v>427</v>
      </c>
      <c r="M349" s="116" t="s">
        <v>865</v>
      </c>
      <c r="N349" s="115" t="s">
        <v>472</v>
      </c>
      <c r="O349" s="117">
        <v>1.05</v>
      </c>
      <c r="P349" s="120" t="s">
        <v>866</v>
      </c>
      <c r="Q349" s="120" t="s">
        <v>867</v>
      </c>
      <c r="R349" s="285">
        <f t="shared" si="39"/>
        <v>3.5175000000000001</v>
      </c>
    </row>
    <row r="350" spans="1:18">
      <c r="A350" s="104"/>
      <c r="B350" s="104"/>
      <c r="C350" s="104"/>
      <c r="D350" s="104"/>
      <c r="E350" s="104"/>
      <c r="F350" s="105"/>
      <c r="G350" s="106"/>
      <c r="H350" s="107"/>
      <c r="I350" s="285"/>
    </row>
    <row r="351" spans="1:18">
      <c r="A351" s="108"/>
      <c r="B351" s="108"/>
      <c r="C351" s="108"/>
      <c r="D351" s="108"/>
      <c r="E351" s="108"/>
      <c r="F351" s="109"/>
      <c r="G351" s="110"/>
      <c r="H351" s="110"/>
      <c r="I351" s="285"/>
    </row>
    <row r="352" spans="1:18" ht="30">
      <c r="A352" s="92" t="s">
        <v>868</v>
      </c>
      <c r="B352" s="92"/>
      <c r="C352" s="92"/>
      <c r="D352" s="93" t="s">
        <v>147</v>
      </c>
      <c r="E352" s="94"/>
      <c r="F352" s="95"/>
      <c r="G352" s="92"/>
      <c r="H352" s="96"/>
      <c r="I352" s="285"/>
    </row>
    <row r="353" spans="1:18">
      <c r="A353" s="97" t="s">
        <v>869</v>
      </c>
      <c r="B353" s="97" t="s">
        <v>418</v>
      </c>
      <c r="C353" s="97" t="s">
        <v>419</v>
      </c>
      <c r="D353" s="98" t="s">
        <v>420</v>
      </c>
      <c r="E353" s="97" t="s">
        <v>421</v>
      </c>
      <c r="F353" s="99" t="s">
        <v>422</v>
      </c>
      <c r="G353" s="97" t="s">
        <v>423</v>
      </c>
      <c r="H353" s="97" t="s">
        <v>424</v>
      </c>
      <c r="I353" s="285"/>
    </row>
    <row r="354" spans="1:18" ht="28.5">
      <c r="A354" s="100" t="s">
        <v>425</v>
      </c>
      <c r="B354" s="100" t="s">
        <v>870</v>
      </c>
      <c r="C354" s="100" t="s">
        <v>427</v>
      </c>
      <c r="D354" s="101" t="s">
        <v>871</v>
      </c>
      <c r="E354" s="100" t="s">
        <v>451</v>
      </c>
      <c r="F354" s="102">
        <v>1</v>
      </c>
      <c r="G354" s="119" t="s">
        <v>872</v>
      </c>
      <c r="H354" s="119" t="s">
        <v>872</v>
      </c>
      <c r="I354" s="285">
        <f>SUM(I355:I356)</f>
        <v>278.35000000000002</v>
      </c>
    </row>
    <row r="355" spans="1:18" ht="28.5">
      <c r="A355" s="111" t="s">
        <v>434</v>
      </c>
      <c r="B355" s="111" t="s">
        <v>873</v>
      </c>
      <c r="C355" s="111" t="s">
        <v>427</v>
      </c>
      <c r="D355" s="112" t="s">
        <v>874</v>
      </c>
      <c r="E355" s="111" t="s">
        <v>451</v>
      </c>
      <c r="F355" s="113">
        <v>1</v>
      </c>
      <c r="G355" s="121" t="s">
        <v>875</v>
      </c>
      <c r="H355" s="121" t="s">
        <v>875</v>
      </c>
      <c r="I355" s="285">
        <f t="shared" ref="I355:I356" si="40">F355*G355</f>
        <v>75.349999999999994</v>
      </c>
    </row>
    <row r="356" spans="1:18" ht="28.5">
      <c r="A356" s="115" t="s">
        <v>437</v>
      </c>
      <c r="B356" s="115" t="s">
        <v>876</v>
      </c>
      <c r="C356" s="115" t="s">
        <v>427</v>
      </c>
      <c r="D356" s="116" t="s">
        <v>877</v>
      </c>
      <c r="E356" s="115" t="s">
        <v>451</v>
      </c>
      <c r="F356" s="117">
        <v>1</v>
      </c>
      <c r="G356" s="120" t="s">
        <v>878</v>
      </c>
      <c r="H356" s="120" t="s">
        <v>878</v>
      </c>
      <c r="I356" s="285">
        <f t="shared" si="40"/>
        <v>203</v>
      </c>
    </row>
    <row r="357" spans="1:18">
      <c r="A357" s="104"/>
      <c r="B357" s="104"/>
      <c r="C357" s="104"/>
      <c r="D357" s="104"/>
      <c r="E357" s="104"/>
      <c r="F357" s="105"/>
      <c r="G357" s="106"/>
      <c r="H357" s="107"/>
      <c r="I357" s="285"/>
    </row>
    <row r="358" spans="1:18">
      <c r="A358" s="108"/>
      <c r="B358" s="108"/>
      <c r="C358" s="108"/>
      <c r="D358" s="108"/>
      <c r="E358" s="108"/>
      <c r="F358" s="109"/>
      <c r="G358" s="110"/>
      <c r="H358" s="110"/>
      <c r="I358" s="285"/>
    </row>
    <row r="359" spans="1:18">
      <c r="A359" s="97" t="s">
        <v>879</v>
      </c>
      <c r="B359" s="97" t="s">
        <v>418</v>
      </c>
      <c r="C359" s="97" t="s">
        <v>419</v>
      </c>
      <c r="D359" s="98" t="s">
        <v>420</v>
      </c>
      <c r="E359" s="97" t="s">
        <v>421</v>
      </c>
      <c r="F359" s="99" t="s">
        <v>422</v>
      </c>
      <c r="G359" s="97" t="s">
        <v>423</v>
      </c>
      <c r="H359" s="97" t="s">
        <v>424</v>
      </c>
      <c r="I359" s="285"/>
    </row>
    <row r="360" spans="1:18" ht="71.25">
      <c r="A360" s="100" t="s">
        <v>425</v>
      </c>
      <c r="B360" s="100" t="s">
        <v>880</v>
      </c>
      <c r="C360" s="100" t="s">
        <v>427</v>
      </c>
      <c r="D360" s="101" t="s">
        <v>153</v>
      </c>
      <c r="E360" s="100" t="s">
        <v>31</v>
      </c>
      <c r="F360" s="102">
        <v>1</v>
      </c>
      <c r="G360" s="119">
        <v>795.13</v>
      </c>
      <c r="H360" s="119">
        <v>795.13</v>
      </c>
      <c r="I360" s="285">
        <f>SUM(I361:I367)</f>
        <v>795.14600000000007</v>
      </c>
      <c r="J360" s="100" t="s">
        <v>425</v>
      </c>
      <c r="K360" s="100" t="s">
        <v>880</v>
      </c>
      <c r="L360" s="100" t="s">
        <v>427</v>
      </c>
      <c r="M360" s="101" t="s">
        <v>153</v>
      </c>
      <c r="N360" s="100" t="s">
        <v>31</v>
      </c>
      <c r="O360" s="102">
        <v>1</v>
      </c>
      <c r="P360" s="119" t="s">
        <v>881</v>
      </c>
      <c r="Q360" s="119" t="s">
        <v>881</v>
      </c>
      <c r="R360" s="285">
        <f>SUM(R361:R367)</f>
        <v>564.84520000000009</v>
      </c>
    </row>
    <row r="361" spans="1:18" ht="42.75">
      <c r="A361" s="111" t="s">
        <v>434</v>
      </c>
      <c r="B361" s="111" t="s">
        <v>882</v>
      </c>
      <c r="C361" s="111" t="s">
        <v>427</v>
      </c>
      <c r="D361" s="112" t="s">
        <v>883</v>
      </c>
      <c r="E361" s="111" t="s">
        <v>468</v>
      </c>
      <c r="F361" s="113">
        <v>0.1</v>
      </c>
      <c r="G361" s="121">
        <v>3253.22</v>
      </c>
      <c r="H361" s="121">
        <v>325.32</v>
      </c>
      <c r="I361" s="285">
        <f t="shared" ref="I361:I367" si="41">F361*G361</f>
        <v>325.322</v>
      </c>
      <c r="J361" s="111" t="s">
        <v>434</v>
      </c>
      <c r="K361" s="111" t="s">
        <v>882</v>
      </c>
      <c r="L361" s="111" t="s">
        <v>427</v>
      </c>
      <c r="M361" s="112" t="s">
        <v>883</v>
      </c>
      <c r="N361" s="111" t="s">
        <v>468</v>
      </c>
      <c r="O361" s="113">
        <v>0.1</v>
      </c>
      <c r="P361" s="121" t="s">
        <v>884</v>
      </c>
      <c r="Q361" s="121" t="s">
        <v>885</v>
      </c>
      <c r="R361" s="285">
        <f t="shared" ref="R361:R367" si="42">O361*P361</f>
        <v>325.322</v>
      </c>
    </row>
    <row r="362" spans="1:18" ht="28.5">
      <c r="A362" s="296" t="s">
        <v>434</v>
      </c>
      <c r="B362" s="296" t="s">
        <v>491</v>
      </c>
      <c r="C362" s="296" t="s">
        <v>427</v>
      </c>
      <c r="D362" s="297" t="s">
        <v>492</v>
      </c>
      <c r="E362" s="296" t="s">
        <v>1576</v>
      </c>
      <c r="F362" s="298">
        <v>2.4</v>
      </c>
      <c r="G362" s="299">
        <v>16.809999999999999</v>
      </c>
      <c r="H362" s="121">
        <v>40.340000000000003</v>
      </c>
      <c r="I362" s="285">
        <f t="shared" si="41"/>
        <v>40.343999999999994</v>
      </c>
      <c r="J362" s="281" t="s">
        <v>434</v>
      </c>
      <c r="K362" s="281" t="s">
        <v>691</v>
      </c>
      <c r="L362" s="281" t="s">
        <v>427</v>
      </c>
      <c r="M362" s="282" t="s">
        <v>692</v>
      </c>
      <c r="N362" s="281" t="s">
        <v>464</v>
      </c>
      <c r="O362" s="294">
        <v>1.2</v>
      </c>
      <c r="P362" s="295" t="s">
        <v>493</v>
      </c>
      <c r="Q362" s="121" t="s">
        <v>886</v>
      </c>
      <c r="R362" s="285">
        <f t="shared" si="42"/>
        <v>20.171999999999997</v>
      </c>
    </row>
    <row r="363" spans="1:18" ht="28.5">
      <c r="A363" s="296" t="s">
        <v>434</v>
      </c>
      <c r="B363" s="296" t="s">
        <v>691</v>
      </c>
      <c r="C363" s="296" t="s">
        <v>427</v>
      </c>
      <c r="D363" s="297" t="s">
        <v>692</v>
      </c>
      <c r="E363" s="296" t="s">
        <v>1576</v>
      </c>
      <c r="F363" s="298">
        <v>1.2</v>
      </c>
      <c r="G363" s="299">
        <v>21.41</v>
      </c>
      <c r="H363" s="121">
        <v>25.69</v>
      </c>
      <c r="I363" s="285">
        <f t="shared" si="41"/>
        <v>25.692</v>
      </c>
      <c r="J363" s="281" t="s">
        <v>434</v>
      </c>
      <c r="K363" s="281" t="s">
        <v>491</v>
      </c>
      <c r="L363" s="281" t="s">
        <v>427</v>
      </c>
      <c r="M363" s="282" t="s">
        <v>492</v>
      </c>
      <c r="N363" s="281" t="s">
        <v>464</v>
      </c>
      <c r="O363" s="294">
        <v>2.4</v>
      </c>
      <c r="P363" s="295" t="s">
        <v>694</v>
      </c>
      <c r="Q363" s="121" t="s">
        <v>887</v>
      </c>
      <c r="R363" s="285">
        <f t="shared" si="42"/>
        <v>51.384</v>
      </c>
    </row>
    <row r="364" spans="1:18" ht="42.75">
      <c r="A364" s="287" t="s">
        <v>437</v>
      </c>
      <c r="B364" s="287" t="s">
        <v>900</v>
      </c>
      <c r="C364" s="287" t="s">
        <v>427</v>
      </c>
      <c r="D364" s="288" t="s">
        <v>901</v>
      </c>
      <c r="E364" s="287" t="s">
        <v>472</v>
      </c>
      <c r="F364" s="289">
        <v>3.36</v>
      </c>
      <c r="G364" s="291">
        <v>92.23</v>
      </c>
      <c r="H364" s="120">
        <v>309.89</v>
      </c>
      <c r="I364" s="285">
        <f t="shared" si="41"/>
        <v>309.89280000000002</v>
      </c>
      <c r="J364" s="271" t="s">
        <v>437</v>
      </c>
      <c r="K364" s="271" t="s">
        <v>888</v>
      </c>
      <c r="L364" s="271" t="s">
        <v>427</v>
      </c>
      <c r="M364" s="272" t="s">
        <v>889</v>
      </c>
      <c r="N364" s="271" t="s">
        <v>476</v>
      </c>
      <c r="O364" s="273">
        <v>0.2</v>
      </c>
      <c r="P364" s="270" t="s">
        <v>890</v>
      </c>
      <c r="Q364" s="120" t="s">
        <v>891</v>
      </c>
      <c r="R364" s="285">
        <f t="shared" si="42"/>
        <v>18.446000000000002</v>
      </c>
    </row>
    <row r="365" spans="1:18" ht="28.5">
      <c r="A365" s="287" t="s">
        <v>437</v>
      </c>
      <c r="B365" s="287" t="s">
        <v>888</v>
      </c>
      <c r="C365" s="287" t="s">
        <v>427</v>
      </c>
      <c r="D365" s="288" t="s">
        <v>889</v>
      </c>
      <c r="E365" s="287" t="s">
        <v>476</v>
      </c>
      <c r="F365" s="289">
        <v>0.2</v>
      </c>
      <c r="G365" s="291">
        <v>16.05</v>
      </c>
      <c r="H365" s="120">
        <v>3.21</v>
      </c>
      <c r="I365" s="285">
        <f t="shared" si="41"/>
        <v>3.2100000000000004</v>
      </c>
      <c r="J365" s="271" t="s">
        <v>437</v>
      </c>
      <c r="K365" s="271" t="s">
        <v>892</v>
      </c>
      <c r="L365" s="271" t="s">
        <v>427</v>
      </c>
      <c r="M365" s="272" t="s">
        <v>893</v>
      </c>
      <c r="N365" s="271" t="s">
        <v>476</v>
      </c>
      <c r="O365" s="273">
        <v>8.7999999999999995E-2</v>
      </c>
      <c r="P365" s="270" t="s">
        <v>894</v>
      </c>
      <c r="Q365" s="120" t="s">
        <v>895</v>
      </c>
      <c r="R365" s="285">
        <f t="shared" si="42"/>
        <v>1.4123999999999999</v>
      </c>
    </row>
    <row r="366" spans="1:18" ht="42.75">
      <c r="A366" s="115" t="s">
        <v>437</v>
      </c>
      <c r="B366" s="115" t="s">
        <v>896</v>
      </c>
      <c r="C366" s="115" t="s">
        <v>427</v>
      </c>
      <c r="D366" s="116" t="s">
        <v>897</v>
      </c>
      <c r="E366" s="115" t="s">
        <v>451</v>
      </c>
      <c r="F366" s="117">
        <v>3.36</v>
      </c>
      <c r="G366" s="120">
        <v>26.53</v>
      </c>
      <c r="H366" s="120">
        <v>89.14</v>
      </c>
      <c r="I366" s="285">
        <f t="shared" si="41"/>
        <v>89.140799999999999</v>
      </c>
      <c r="J366" s="115" t="s">
        <v>437</v>
      </c>
      <c r="K366" s="115" t="s">
        <v>896</v>
      </c>
      <c r="L366" s="115" t="s">
        <v>427</v>
      </c>
      <c r="M366" s="116" t="s">
        <v>897</v>
      </c>
      <c r="N366" s="115" t="s">
        <v>451</v>
      </c>
      <c r="O366" s="117">
        <v>3.36</v>
      </c>
      <c r="P366" s="120" t="s">
        <v>898</v>
      </c>
      <c r="Q366" s="120" t="s">
        <v>899</v>
      </c>
      <c r="R366" s="285">
        <f t="shared" si="42"/>
        <v>89.140799999999999</v>
      </c>
    </row>
    <row r="367" spans="1:18" ht="42.75">
      <c r="A367" s="287" t="s">
        <v>437</v>
      </c>
      <c r="B367" s="287" t="s">
        <v>892</v>
      </c>
      <c r="C367" s="287" t="s">
        <v>427</v>
      </c>
      <c r="D367" s="288" t="s">
        <v>893</v>
      </c>
      <c r="E367" s="287" t="s">
        <v>476</v>
      </c>
      <c r="F367" s="289">
        <v>8.7999999999999995E-2</v>
      </c>
      <c r="G367" s="291">
        <v>17.55</v>
      </c>
      <c r="H367" s="120">
        <v>1.54</v>
      </c>
      <c r="I367" s="285">
        <f t="shared" si="41"/>
        <v>1.5444</v>
      </c>
      <c r="J367" s="271" t="s">
        <v>437</v>
      </c>
      <c r="K367" s="271" t="s">
        <v>900</v>
      </c>
      <c r="L367" s="271" t="s">
        <v>427</v>
      </c>
      <c r="M367" s="272" t="s">
        <v>901</v>
      </c>
      <c r="N367" s="271" t="s">
        <v>472</v>
      </c>
      <c r="O367" s="273">
        <v>3.36</v>
      </c>
      <c r="P367" s="270" t="s">
        <v>902</v>
      </c>
      <c r="Q367" s="120" t="s">
        <v>903</v>
      </c>
      <c r="R367" s="285">
        <f t="shared" si="42"/>
        <v>58.968000000000004</v>
      </c>
    </row>
    <row r="368" spans="1:18">
      <c r="A368" s="104"/>
      <c r="B368" s="104"/>
      <c r="C368" s="104"/>
      <c r="D368" s="104"/>
      <c r="E368" s="104"/>
      <c r="F368" s="105"/>
      <c r="G368" s="106"/>
      <c r="H368" s="107"/>
      <c r="I368" s="285"/>
    </row>
    <row r="369" spans="1:18">
      <c r="A369" s="108"/>
      <c r="B369" s="108"/>
      <c r="C369" s="108"/>
      <c r="D369" s="108"/>
      <c r="E369" s="108"/>
      <c r="F369" s="109"/>
      <c r="G369" s="110"/>
      <c r="H369" s="110"/>
      <c r="I369" s="285"/>
    </row>
    <row r="370" spans="1:18">
      <c r="A370" s="97" t="s">
        <v>904</v>
      </c>
      <c r="B370" s="97" t="s">
        <v>418</v>
      </c>
      <c r="C370" s="97" t="s">
        <v>419</v>
      </c>
      <c r="D370" s="98" t="s">
        <v>420</v>
      </c>
      <c r="E370" s="97" t="s">
        <v>421</v>
      </c>
      <c r="F370" s="99" t="s">
        <v>422</v>
      </c>
      <c r="G370" s="97" t="s">
        <v>423</v>
      </c>
      <c r="H370" s="97" t="s">
        <v>424</v>
      </c>
      <c r="I370" s="285"/>
    </row>
    <row r="371" spans="1:18" ht="28.5">
      <c r="A371" s="100" t="s">
        <v>425</v>
      </c>
      <c r="B371" s="100" t="s">
        <v>905</v>
      </c>
      <c r="C371" s="100" t="s">
        <v>427</v>
      </c>
      <c r="D371" s="101" t="s">
        <v>156</v>
      </c>
      <c r="E371" s="100" t="s">
        <v>451</v>
      </c>
      <c r="F371" s="102">
        <v>1</v>
      </c>
      <c r="G371" s="119" t="s">
        <v>906</v>
      </c>
      <c r="H371" s="119" t="s">
        <v>906</v>
      </c>
      <c r="I371" s="285">
        <f>SUM(I372:I373)</f>
        <v>241.72</v>
      </c>
    </row>
    <row r="372" spans="1:18" ht="28.5">
      <c r="A372" s="111" t="s">
        <v>434</v>
      </c>
      <c r="B372" s="111" t="s">
        <v>907</v>
      </c>
      <c r="C372" s="111" t="s">
        <v>427</v>
      </c>
      <c r="D372" s="112" t="s">
        <v>908</v>
      </c>
      <c r="E372" s="111" t="s">
        <v>451</v>
      </c>
      <c r="F372" s="113">
        <v>1</v>
      </c>
      <c r="G372" s="121" t="s">
        <v>909</v>
      </c>
      <c r="H372" s="121" t="s">
        <v>909</v>
      </c>
      <c r="I372" s="285">
        <f t="shared" ref="I372:I373" si="43">F372*G372</f>
        <v>85.37</v>
      </c>
    </row>
    <row r="373" spans="1:18" ht="28.5">
      <c r="A373" s="115" t="s">
        <v>437</v>
      </c>
      <c r="B373" s="115" t="s">
        <v>910</v>
      </c>
      <c r="C373" s="115" t="s">
        <v>427</v>
      </c>
      <c r="D373" s="116" t="s">
        <v>911</v>
      </c>
      <c r="E373" s="115" t="s">
        <v>451</v>
      </c>
      <c r="F373" s="117">
        <v>1</v>
      </c>
      <c r="G373" s="120" t="s">
        <v>912</v>
      </c>
      <c r="H373" s="120" t="s">
        <v>912</v>
      </c>
      <c r="I373" s="285">
        <f t="shared" si="43"/>
        <v>156.35</v>
      </c>
    </row>
    <row r="374" spans="1:18">
      <c r="A374" s="104"/>
      <c r="B374" s="104"/>
      <c r="C374" s="104"/>
      <c r="D374" s="104"/>
      <c r="E374" s="104"/>
      <c r="F374" s="105"/>
      <c r="G374" s="106"/>
      <c r="H374" s="107"/>
      <c r="I374" s="285"/>
    </row>
    <row r="375" spans="1:18">
      <c r="A375" s="97" t="s">
        <v>157</v>
      </c>
      <c r="B375" s="97" t="s">
        <v>418</v>
      </c>
      <c r="C375" s="97" t="s">
        <v>419</v>
      </c>
      <c r="D375" s="98" t="s">
        <v>420</v>
      </c>
      <c r="E375" s="97" t="s">
        <v>421</v>
      </c>
      <c r="F375" s="99" t="s">
        <v>422</v>
      </c>
      <c r="G375" s="97" t="s">
        <v>423</v>
      </c>
      <c r="H375" s="97" t="s">
        <v>424</v>
      </c>
      <c r="I375" s="285"/>
    </row>
    <row r="376" spans="1:18" ht="28.5">
      <c r="A376" s="100" t="s">
        <v>425</v>
      </c>
      <c r="B376" s="100" t="s">
        <v>913</v>
      </c>
      <c r="C376" s="100" t="s">
        <v>427</v>
      </c>
      <c r="D376" s="101" t="s">
        <v>914</v>
      </c>
      <c r="E376" s="100" t="s">
        <v>451</v>
      </c>
      <c r="F376" s="102">
        <v>1</v>
      </c>
      <c r="G376" s="119" t="s">
        <v>915</v>
      </c>
      <c r="H376" s="119" t="s">
        <v>915</v>
      </c>
      <c r="I376" s="285">
        <f>SUM(I377:I378)</f>
        <v>362.35</v>
      </c>
    </row>
    <row r="377" spans="1:18" ht="28.5">
      <c r="A377" s="111" t="s">
        <v>434</v>
      </c>
      <c r="B377" s="111" t="s">
        <v>873</v>
      </c>
      <c r="C377" s="111" t="s">
        <v>427</v>
      </c>
      <c r="D377" s="112" t="s">
        <v>874</v>
      </c>
      <c r="E377" s="111" t="s">
        <v>451</v>
      </c>
      <c r="F377" s="113">
        <v>1</v>
      </c>
      <c r="G377" s="121" t="s">
        <v>875</v>
      </c>
      <c r="H377" s="121" t="s">
        <v>875</v>
      </c>
      <c r="I377" s="285">
        <f t="shared" ref="I377:I378" si="44">F377*G377</f>
        <v>75.349999999999994</v>
      </c>
    </row>
    <row r="378" spans="1:18" ht="28.5">
      <c r="A378" s="115" t="s">
        <v>437</v>
      </c>
      <c r="B378" s="115" t="s">
        <v>916</v>
      </c>
      <c r="C378" s="115" t="s">
        <v>427</v>
      </c>
      <c r="D378" s="116" t="s">
        <v>917</v>
      </c>
      <c r="E378" s="115" t="s">
        <v>451</v>
      </c>
      <c r="F378" s="117">
        <v>1</v>
      </c>
      <c r="G378" s="120" t="s">
        <v>918</v>
      </c>
      <c r="H378" s="120" t="s">
        <v>918</v>
      </c>
      <c r="I378" s="285">
        <f t="shared" si="44"/>
        <v>287</v>
      </c>
    </row>
    <row r="379" spans="1:18">
      <c r="A379" s="104"/>
      <c r="B379" s="104"/>
      <c r="C379" s="104"/>
      <c r="D379" s="104"/>
      <c r="E379" s="104"/>
      <c r="F379" s="105"/>
      <c r="G379" s="106"/>
      <c r="H379" s="107"/>
      <c r="I379" s="285"/>
    </row>
    <row r="380" spans="1:18">
      <c r="A380" s="108"/>
      <c r="B380" s="108"/>
      <c r="C380" s="108"/>
      <c r="D380" s="108"/>
      <c r="E380" s="108"/>
      <c r="F380" s="109"/>
      <c r="G380" s="110"/>
      <c r="H380" s="110"/>
      <c r="I380" s="285"/>
    </row>
    <row r="381" spans="1:18">
      <c r="A381" s="92" t="s">
        <v>919</v>
      </c>
      <c r="B381" s="92"/>
      <c r="C381" s="92"/>
      <c r="D381" s="93" t="s">
        <v>161</v>
      </c>
      <c r="E381" s="94"/>
      <c r="F381" s="95"/>
      <c r="G381" s="92"/>
      <c r="H381" s="96"/>
      <c r="I381" s="285"/>
    </row>
    <row r="382" spans="1:18">
      <c r="A382" s="97" t="s">
        <v>920</v>
      </c>
      <c r="B382" s="97" t="s">
        <v>418</v>
      </c>
      <c r="C382" s="97" t="s">
        <v>419</v>
      </c>
      <c r="D382" s="98" t="s">
        <v>420</v>
      </c>
      <c r="E382" s="97" t="s">
        <v>421</v>
      </c>
      <c r="F382" s="99" t="s">
        <v>422</v>
      </c>
      <c r="G382" s="97" t="s">
        <v>423</v>
      </c>
      <c r="H382" s="97" t="s">
        <v>424</v>
      </c>
      <c r="I382" s="285"/>
    </row>
    <row r="383" spans="1:18" ht="28.5">
      <c r="A383" s="100" t="s">
        <v>425</v>
      </c>
      <c r="B383" s="100" t="s">
        <v>921</v>
      </c>
      <c r="C383" s="100" t="s">
        <v>427</v>
      </c>
      <c r="D383" s="101" t="s">
        <v>164</v>
      </c>
      <c r="E383" s="100" t="s">
        <v>451</v>
      </c>
      <c r="F383" s="102">
        <v>1</v>
      </c>
      <c r="G383" s="119">
        <v>213.46</v>
      </c>
      <c r="H383" s="119">
        <v>213.46</v>
      </c>
      <c r="I383" s="285">
        <f>SUM(I384:I389)</f>
        <v>213.4734</v>
      </c>
      <c r="J383" s="100" t="s">
        <v>425</v>
      </c>
      <c r="K383" s="100" t="s">
        <v>921</v>
      </c>
      <c r="L383" s="100" t="s">
        <v>427</v>
      </c>
      <c r="M383" s="101" t="s">
        <v>164</v>
      </c>
      <c r="N383" s="100" t="s">
        <v>451</v>
      </c>
      <c r="O383" s="102">
        <v>1</v>
      </c>
      <c r="P383" s="119" t="s">
        <v>922</v>
      </c>
      <c r="Q383" s="119" t="s">
        <v>922</v>
      </c>
      <c r="R383" s="285">
        <f>SUM(R384:R390)</f>
        <v>1152.1787000000002</v>
      </c>
    </row>
    <row r="384" spans="1:18" ht="28.5">
      <c r="A384" s="296" t="s">
        <v>434</v>
      </c>
      <c r="B384" s="296" t="s">
        <v>491</v>
      </c>
      <c r="C384" s="296" t="s">
        <v>427</v>
      </c>
      <c r="D384" s="297" t="s">
        <v>492</v>
      </c>
      <c r="E384" s="296" t="s">
        <v>1576</v>
      </c>
      <c r="F384" s="298">
        <v>2</v>
      </c>
      <c r="G384" s="299">
        <v>16.809999999999999</v>
      </c>
      <c r="H384" s="121">
        <v>33.619999999999997</v>
      </c>
      <c r="I384" s="285">
        <f t="shared" ref="I384:I389" si="45">F384*G384</f>
        <v>33.619999999999997</v>
      </c>
      <c r="J384" s="281" t="s">
        <v>434</v>
      </c>
      <c r="K384" s="281" t="s">
        <v>923</v>
      </c>
      <c r="L384" s="281" t="s">
        <v>427</v>
      </c>
      <c r="M384" s="282" t="s">
        <v>924</v>
      </c>
      <c r="N384" s="281" t="s">
        <v>468</v>
      </c>
      <c r="O384" s="294">
        <v>0.01</v>
      </c>
      <c r="P384" s="295" t="s">
        <v>493</v>
      </c>
      <c r="Q384" s="121" t="s">
        <v>925</v>
      </c>
      <c r="R384" s="285">
        <f t="shared" ref="R384:R389" si="46">O384*P384</f>
        <v>0.1681</v>
      </c>
    </row>
    <row r="385" spans="1:18" ht="28.5">
      <c r="A385" s="111" t="s">
        <v>434</v>
      </c>
      <c r="B385" s="111" t="s">
        <v>536</v>
      </c>
      <c r="C385" s="111" t="s">
        <v>427</v>
      </c>
      <c r="D385" s="112" t="s">
        <v>522</v>
      </c>
      <c r="E385" s="111" t="s">
        <v>1576</v>
      </c>
      <c r="F385" s="113">
        <v>2</v>
      </c>
      <c r="G385" s="121">
        <v>23.1</v>
      </c>
      <c r="H385" s="121">
        <v>46.2</v>
      </c>
      <c r="I385" s="285">
        <f t="shared" si="45"/>
        <v>46.2</v>
      </c>
      <c r="J385" s="111" t="s">
        <v>434</v>
      </c>
      <c r="K385" s="111" t="s">
        <v>536</v>
      </c>
      <c r="L385" s="111" t="s">
        <v>427</v>
      </c>
      <c r="M385" s="112" t="s">
        <v>522</v>
      </c>
      <c r="N385" s="111" t="s">
        <v>464</v>
      </c>
      <c r="O385" s="113">
        <v>2</v>
      </c>
      <c r="P385" s="121" t="s">
        <v>537</v>
      </c>
      <c r="Q385" s="121" t="s">
        <v>926</v>
      </c>
      <c r="R385" s="285">
        <f t="shared" si="46"/>
        <v>46.2</v>
      </c>
    </row>
    <row r="386" spans="1:18" ht="28.5">
      <c r="A386" s="296" t="s">
        <v>434</v>
      </c>
      <c r="B386" s="296" t="s">
        <v>923</v>
      </c>
      <c r="C386" s="296" t="s">
        <v>427</v>
      </c>
      <c r="D386" s="297" t="s">
        <v>924</v>
      </c>
      <c r="E386" s="296" t="s">
        <v>468</v>
      </c>
      <c r="F386" s="298">
        <v>0.01</v>
      </c>
      <c r="G386" s="299">
        <v>481.18</v>
      </c>
      <c r="H386" s="121">
        <v>4.8099999999999996</v>
      </c>
      <c r="I386" s="285">
        <f t="shared" si="45"/>
        <v>4.8117999999999999</v>
      </c>
      <c r="J386" s="281" t="s">
        <v>434</v>
      </c>
      <c r="K386" s="281" t="s">
        <v>491</v>
      </c>
      <c r="L386" s="281" t="s">
        <v>427</v>
      </c>
      <c r="M386" s="282" t="s">
        <v>492</v>
      </c>
      <c r="N386" s="281" t="s">
        <v>464</v>
      </c>
      <c r="O386" s="294">
        <v>2</v>
      </c>
      <c r="P386" s="295" t="s">
        <v>927</v>
      </c>
      <c r="Q386" s="121" t="s">
        <v>796</v>
      </c>
      <c r="R386" s="285">
        <f t="shared" si="46"/>
        <v>962.36</v>
      </c>
    </row>
    <row r="387" spans="1:18" ht="42.75">
      <c r="A387" s="287" t="s">
        <v>437</v>
      </c>
      <c r="B387" s="287" t="s">
        <v>936</v>
      </c>
      <c r="C387" s="287" t="s">
        <v>427</v>
      </c>
      <c r="D387" s="288" t="s">
        <v>937</v>
      </c>
      <c r="E387" s="287" t="s">
        <v>472</v>
      </c>
      <c r="F387" s="289">
        <v>1.1399999999999999</v>
      </c>
      <c r="G387" s="291">
        <v>7.77</v>
      </c>
      <c r="H387" s="120">
        <v>8.85</v>
      </c>
      <c r="I387" s="285">
        <f t="shared" si="45"/>
        <v>8.8577999999999992</v>
      </c>
      <c r="J387" s="271" t="s">
        <v>437</v>
      </c>
      <c r="K387" s="271" t="s">
        <v>928</v>
      </c>
      <c r="L387" s="271" t="s">
        <v>427</v>
      </c>
      <c r="M387" s="272" t="s">
        <v>929</v>
      </c>
      <c r="N387" s="271" t="s">
        <v>451</v>
      </c>
      <c r="O387" s="273">
        <v>1</v>
      </c>
      <c r="P387" s="270" t="s">
        <v>930</v>
      </c>
      <c r="Q387" s="120" t="s">
        <v>931</v>
      </c>
      <c r="R387" s="285">
        <f t="shared" si="46"/>
        <v>7.77</v>
      </c>
    </row>
    <row r="388" spans="1:18" ht="28.5">
      <c r="A388" s="115" t="s">
        <v>437</v>
      </c>
      <c r="B388" s="115" t="s">
        <v>932</v>
      </c>
      <c r="C388" s="115" t="s">
        <v>427</v>
      </c>
      <c r="D388" s="116" t="s">
        <v>933</v>
      </c>
      <c r="E388" s="115" t="s">
        <v>472</v>
      </c>
      <c r="F388" s="117">
        <v>2.87</v>
      </c>
      <c r="G388" s="120">
        <v>2.74</v>
      </c>
      <c r="H388" s="120">
        <v>7.86</v>
      </c>
      <c r="I388" s="285">
        <f t="shared" si="45"/>
        <v>7.8638000000000012</v>
      </c>
      <c r="J388" s="115" t="s">
        <v>437</v>
      </c>
      <c r="K388" s="115" t="s">
        <v>932</v>
      </c>
      <c r="L388" s="115" t="s">
        <v>427</v>
      </c>
      <c r="M388" s="116" t="s">
        <v>933</v>
      </c>
      <c r="N388" s="115" t="s">
        <v>472</v>
      </c>
      <c r="O388" s="117">
        <v>2.87</v>
      </c>
      <c r="P388" s="120" t="s">
        <v>934</v>
      </c>
      <c r="Q388" s="120" t="s">
        <v>935</v>
      </c>
      <c r="R388" s="285">
        <f t="shared" si="46"/>
        <v>7.8638000000000012</v>
      </c>
    </row>
    <row r="389" spans="1:18" ht="42.75">
      <c r="A389" s="287" t="s">
        <v>437</v>
      </c>
      <c r="B389" s="287" t="s">
        <v>928</v>
      </c>
      <c r="C389" s="287" t="s">
        <v>427</v>
      </c>
      <c r="D389" s="288" t="s">
        <v>929</v>
      </c>
      <c r="E389" s="287" t="s">
        <v>451</v>
      </c>
      <c r="F389" s="289">
        <v>1</v>
      </c>
      <c r="G389" s="291">
        <v>112.12</v>
      </c>
      <c r="H389" s="120">
        <v>112.12</v>
      </c>
      <c r="I389" s="285">
        <f t="shared" si="45"/>
        <v>112.12</v>
      </c>
      <c r="J389" s="271" t="s">
        <v>437</v>
      </c>
      <c r="K389" s="271" t="s">
        <v>936</v>
      </c>
      <c r="L389" s="271" t="s">
        <v>427</v>
      </c>
      <c r="M389" s="272" t="s">
        <v>937</v>
      </c>
      <c r="N389" s="271" t="s">
        <v>472</v>
      </c>
      <c r="O389" s="273">
        <v>1.1399999999999999</v>
      </c>
      <c r="P389" s="270" t="s">
        <v>938</v>
      </c>
      <c r="Q389" s="120" t="s">
        <v>938</v>
      </c>
      <c r="R389" s="285">
        <f t="shared" si="46"/>
        <v>127.8168</v>
      </c>
    </row>
    <row r="390" spans="1:18">
      <c r="A390" s="104"/>
      <c r="B390" s="104"/>
      <c r="C390" s="104"/>
      <c r="D390" s="104"/>
      <c r="E390" s="104"/>
      <c r="F390" s="105"/>
      <c r="G390" s="106"/>
      <c r="H390" s="107"/>
      <c r="I390" s="285"/>
    </row>
    <row r="391" spans="1:18">
      <c r="A391" s="108"/>
      <c r="B391" s="108"/>
      <c r="C391" s="108"/>
      <c r="D391" s="108"/>
      <c r="E391" s="108"/>
      <c r="F391" s="109"/>
      <c r="G391" s="110"/>
      <c r="H391" s="110"/>
      <c r="I391" s="285"/>
    </row>
    <row r="392" spans="1:18">
      <c r="A392" s="97" t="s">
        <v>939</v>
      </c>
      <c r="B392" s="97" t="s">
        <v>418</v>
      </c>
      <c r="C392" s="97" t="s">
        <v>419</v>
      </c>
      <c r="D392" s="98" t="s">
        <v>420</v>
      </c>
      <c r="E392" s="97" t="s">
        <v>421</v>
      </c>
      <c r="F392" s="99" t="s">
        <v>422</v>
      </c>
      <c r="G392" s="97" t="s">
        <v>423</v>
      </c>
      <c r="H392" s="97" t="s">
        <v>424</v>
      </c>
      <c r="I392" s="285"/>
    </row>
    <row r="393" spans="1:18" ht="42.75">
      <c r="A393" s="100" t="s">
        <v>425</v>
      </c>
      <c r="B393" s="100" t="s">
        <v>940</v>
      </c>
      <c r="C393" s="100" t="s">
        <v>427</v>
      </c>
      <c r="D393" s="101" t="s">
        <v>167</v>
      </c>
      <c r="E393" s="100" t="s">
        <v>451</v>
      </c>
      <c r="F393" s="102">
        <v>1</v>
      </c>
      <c r="G393" s="119">
        <v>169.33</v>
      </c>
      <c r="H393" s="119">
        <v>169.33</v>
      </c>
      <c r="I393" s="285">
        <f>SUM(I394:I397)</f>
        <v>169.34480000000002</v>
      </c>
      <c r="J393" s="100" t="s">
        <v>425</v>
      </c>
      <c r="K393" s="100" t="s">
        <v>940</v>
      </c>
      <c r="L393" s="100" t="s">
        <v>427</v>
      </c>
      <c r="M393" s="101" t="s">
        <v>167</v>
      </c>
      <c r="N393" s="100" t="s">
        <v>451</v>
      </c>
      <c r="O393" s="102">
        <v>1</v>
      </c>
      <c r="P393" s="119" t="s">
        <v>941</v>
      </c>
      <c r="Q393" s="119" t="s">
        <v>941</v>
      </c>
      <c r="R393" s="285">
        <f>SUM(R394:R397)</f>
        <v>348.81880000000001</v>
      </c>
    </row>
    <row r="394" spans="1:18" ht="28.5">
      <c r="A394" s="283" t="s">
        <v>434</v>
      </c>
      <c r="B394" s="283" t="s">
        <v>945</v>
      </c>
      <c r="C394" s="283" t="s">
        <v>427</v>
      </c>
      <c r="D394" s="284" t="s">
        <v>946</v>
      </c>
      <c r="E394" s="283" t="s">
        <v>451</v>
      </c>
      <c r="F394" s="292">
        <v>1</v>
      </c>
      <c r="G394" s="293">
        <v>59.75</v>
      </c>
      <c r="H394" s="121">
        <v>59.75</v>
      </c>
      <c r="I394" s="285">
        <f t="shared" ref="I394:I397" si="47">F394*G394</f>
        <v>59.75</v>
      </c>
      <c r="J394" s="281" t="s">
        <v>434</v>
      </c>
      <c r="K394" s="281" t="s">
        <v>942</v>
      </c>
      <c r="L394" s="281" t="s">
        <v>427</v>
      </c>
      <c r="M394" s="282" t="s">
        <v>943</v>
      </c>
      <c r="N394" s="281" t="s">
        <v>60</v>
      </c>
      <c r="O394" s="294">
        <v>4.8</v>
      </c>
      <c r="P394" s="295" t="s">
        <v>944</v>
      </c>
      <c r="Q394" s="121" t="s">
        <v>944</v>
      </c>
      <c r="R394" s="285">
        <f t="shared" ref="R394:R397" si="48">O394*P394</f>
        <v>286.8</v>
      </c>
    </row>
    <row r="395" spans="1:18" ht="28.5">
      <c r="A395" s="283" t="s">
        <v>434</v>
      </c>
      <c r="B395" s="283" t="s">
        <v>942</v>
      </c>
      <c r="C395" s="283" t="s">
        <v>427</v>
      </c>
      <c r="D395" s="284" t="s">
        <v>943</v>
      </c>
      <c r="E395" s="283" t="s">
        <v>60</v>
      </c>
      <c r="F395" s="292">
        <v>4.8</v>
      </c>
      <c r="G395" s="293">
        <v>12.52</v>
      </c>
      <c r="H395" s="121">
        <v>60.09</v>
      </c>
      <c r="I395" s="285">
        <f t="shared" si="47"/>
        <v>60.095999999999997</v>
      </c>
      <c r="J395" s="281" t="s">
        <v>434</v>
      </c>
      <c r="K395" s="281" t="s">
        <v>945</v>
      </c>
      <c r="L395" s="281" t="s">
        <v>427</v>
      </c>
      <c r="M395" s="282" t="s">
        <v>946</v>
      </c>
      <c r="N395" s="281" t="s">
        <v>451</v>
      </c>
      <c r="O395" s="294">
        <v>1</v>
      </c>
      <c r="P395" s="295" t="s">
        <v>947</v>
      </c>
      <c r="Q395" s="121" t="s">
        <v>948</v>
      </c>
      <c r="R395" s="285">
        <f t="shared" si="48"/>
        <v>12.52</v>
      </c>
    </row>
    <row r="396" spans="1:18" ht="42.75">
      <c r="A396" s="111" t="s">
        <v>434</v>
      </c>
      <c r="B396" s="111" t="s">
        <v>949</v>
      </c>
      <c r="C396" s="111" t="s">
        <v>427</v>
      </c>
      <c r="D396" s="112" t="s">
        <v>950</v>
      </c>
      <c r="E396" s="111" t="s">
        <v>468</v>
      </c>
      <c r="F396" s="113">
        <v>0.08</v>
      </c>
      <c r="G396" s="121">
        <v>563.36</v>
      </c>
      <c r="H396" s="121">
        <v>45.06</v>
      </c>
      <c r="I396" s="285">
        <f t="shared" si="47"/>
        <v>45.068800000000003</v>
      </c>
      <c r="J396" s="111" t="s">
        <v>434</v>
      </c>
      <c r="K396" s="111" t="s">
        <v>949</v>
      </c>
      <c r="L396" s="111" t="s">
        <v>427</v>
      </c>
      <c r="M396" s="112" t="s">
        <v>950</v>
      </c>
      <c r="N396" s="111" t="s">
        <v>468</v>
      </c>
      <c r="O396" s="113">
        <v>0.08</v>
      </c>
      <c r="P396" s="121" t="s">
        <v>951</v>
      </c>
      <c r="Q396" s="121" t="s">
        <v>952</v>
      </c>
      <c r="R396" s="285">
        <f t="shared" si="48"/>
        <v>45.068800000000003</v>
      </c>
    </row>
    <row r="397" spans="1:18" ht="57">
      <c r="A397" s="115" t="s">
        <v>437</v>
      </c>
      <c r="B397" s="115" t="s">
        <v>953</v>
      </c>
      <c r="C397" s="115" t="s">
        <v>427</v>
      </c>
      <c r="D397" s="116" t="s">
        <v>954</v>
      </c>
      <c r="E397" s="115" t="s">
        <v>451</v>
      </c>
      <c r="F397" s="117">
        <v>1</v>
      </c>
      <c r="G397" s="120">
        <v>4.43</v>
      </c>
      <c r="H397" s="120">
        <v>4.43</v>
      </c>
      <c r="I397" s="285">
        <f t="shared" si="47"/>
        <v>4.43</v>
      </c>
      <c r="J397" s="115" t="s">
        <v>437</v>
      </c>
      <c r="K397" s="115" t="s">
        <v>953</v>
      </c>
      <c r="L397" s="115" t="s">
        <v>427</v>
      </c>
      <c r="M397" s="116" t="s">
        <v>954</v>
      </c>
      <c r="N397" s="115" t="s">
        <v>451</v>
      </c>
      <c r="O397" s="117">
        <v>1</v>
      </c>
      <c r="P397" s="120" t="s">
        <v>955</v>
      </c>
      <c r="Q397" s="120" t="s">
        <v>955</v>
      </c>
      <c r="R397" s="285">
        <f t="shared" si="48"/>
        <v>4.43</v>
      </c>
    </row>
    <row r="398" spans="1:18">
      <c r="A398" s="104"/>
      <c r="B398" s="104"/>
      <c r="C398" s="104"/>
      <c r="D398" s="104"/>
      <c r="E398" s="104"/>
      <c r="F398" s="105"/>
      <c r="G398" s="106"/>
      <c r="H398" s="107"/>
      <c r="I398" s="285"/>
    </row>
    <row r="399" spans="1:18">
      <c r="A399" s="108"/>
      <c r="B399" s="108"/>
      <c r="C399" s="108"/>
      <c r="D399" s="108"/>
      <c r="E399" s="108"/>
      <c r="F399" s="109"/>
      <c r="G399" s="110"/>
      <c r="H399" s="110"/>
      <c r="I399" s="285"/>
    </row>
    <row r="400" spans="1:18">
      <c r="A400" s="92" t="s">
        <v>956</v>
      </c>
      <c r="B400" s="92"/>
      <c r="C400" s="92"/>
      <c r="D400" s="93" t="s">
        <v>170</v>
      </c>
      <c r="E400" s="94"/>
      <c r="F400" s="95"/>
      <c r="G400" s="92"/>
      <c r="H400" s="96">
        <v>1895.64</v>
      </c>
      <c r="I400" s="285"/>
    </row>
    <row r="401" spans="1:9">
      <c r="A401" s="97" t="s">
        <v>957</v>
      </c>
      <c r="B401" s="97" t="s">
        <v>418</v>
      </c>
      <c r="C401" s="97" t="s">
        <v>419</v>
      </c>
      <c r="D401" s="98" t="s">
        <v>420</v>
      </c>
      <c r="E401" s="97" t="s">
        <v>421</v>
      </c>
      <c r="F401" s="99" t="s">
        <v>422</v>
      </c>
      <c r="G401" s="97" t="s">
        <v>423</v>
      </c>
      <c r="H401" s="97" t="s">
        <v>424</v>
      </c>
      <c r="I401" s="285"/>
    </row>
    <row r="402" spans="1:9">
      <c r="A402" s="100" t="s">
        <v>425</v>
      </c>
      <c r="B402" s="100" t="s">
        <v>958</v>
      </c>
      <c r="C402" s="100" t="s">
        <v>431</v>
      </c>
      <c r="D402" s="101" t="s">
        <v>172</v>
      </c>
      <c r="E402" s="100" t="s">
        <v>451</v>
      </c>
      <c r="F402" s="102">
        <v>1</v>
      </c>
      <c r="G402" s="103">
        <v>12.45</v>
      </c>
      <c r="H402" s="103">
        <v>12.45</v>
      </c>
      <c r="I402" s="285">
        <f>SUM(I403:I406)</f>
        <v>12.459460999999999</v>
      </c>
    </row>
    <row r="403" spans="1:9" ht="28.5">
      <c r="A403" s="111" t="s">
        <v>434</v>
      </c>
      <c r="B403" s="111" t="s">
        <v>519</v>
      </c>
      <c r="C403" s="111" t="s">
        <v>431</v>
      </c>
      <c r="D403" s="112" t="s">
        <v>492</v>
      </c>
      <c r="E403" s="111" t="s">
        <v>520</v>
      </c>
      <c r="F403" s="113">
        <v>0.15640000000000001</v>
      </c>
      <c r="G403" s="114">
        <v>16.809999999999999</v>
      </c>
      <c r="H403" s="114">
        <v>2.62</v>
      </c>
      <c r="I403" s="285">
        <f t="shared" ref="I403:I405" si="49">F403*G403</f>
        <v>2.6290840000000002</v>
      </c>
    </row>
    <row r="404" spans="1:9" ht="28.5">
      <c r="A404" s="111" t="s">
        <v>434</v>
      </c>
      <c r="B404" s="111" t="s">
        <v>959</v>
      </c>
      <c r="C404" s="111" t="s">
        <v>431</v>
      </c>
      <c r="D404" s="112" t="s">
        <v>960</v>
      </c>
      <c r="E404" s="111" t="s">
        <v>520</v>
      </c>
      <c r="F404" s="113">
        <v>3.9100000000000003E-2</v>
      </c>
      <c r="G404" s="114">
        <v>20.47</v>
      </c>
      <c r="H404" s="114">
        <v>0.8</v>
      </c>
      <c r="I404" s="285">
        <f t="shared" si="49"/>
        <v>0.80037700000000001</v>
      </c>
    </row>
    <row r="405" spans="1:9">
      <c r="A405" s="115" t="s">
        <v>437</v>
      </c>
      <c r="B405" s="115" t="s">
        <v>961</v>
      </c>
      <c r="C405" s="115" t="s">
        <v>431</v>
      </c>
      <c r="D405" s="116" t="s">
        <v>962</v>
      </c>
      <c r="E405" s="115" t="s">
        <v>451</v>
      </c>
      <c r="F405" s="117">
        <v>1</v>
      </c>
      <c r="G405" s="118">
        <v>9.0299999999999994</v>
      </c>
      <c r="H405" s="118">
        <v>9.0299999999999994</v>
      </c>
      <c r="I405" s="285">
        <f t="shared" si="49"/>
        <v>9.0299999999999994</v>
      </c>
    </row>
    <row r="406" spans="1:9">
      <c r="A406" s="104"/>
      <c r="B406" s="104"/>
      <c r="C406" s="104"/>
      <c r="D406" s="104"/>
      <c r="E406" s="104"/>
      <c r="F406" s="105"/>
      <c r="G406" s="106"/>
      <c r="H406" s="107"/>
      <c r="I406" s="285"/>
    </row>
    <row r="407" spans="1:9">
      <c r="A407" s="108"/>
      <c r="B407" s="108"/>
      <c r="C407" s="108"/>
      <c r="D407" s="108"/>
      <c r="E407" s="108"/>
      <c r="F407" s="109"/>
      <c r="G407" s="110"/>
      <c r="H407" s="110"/>
      <c r="I407" s="285"/>
    </row>
    <row r="408" spans="1:9">
      <c r="A408" s="97" t="s">
        <v>963</v>
      </c>
      <c r="B408" s="97" t="s">
        <v>418</v>
      </c>
      <c r="C408" s="97" t="s">
        <v>419</v>
      </c>
      <c r="D408" s="98" t="s">
        <v>420</v>
      </c>
      <c r="E408" s="97" t="s">
        <v>421</v>
      </c>
      <c r="F408" s="99" t="s">
        <v>422</v>
      </c>
      <c r="G408" s="97" t="s">
        <v>423</v>
      </c>
      <c r="H408" s="97" t="s">
        <v>424</v>
      </c>
      <c r="I408" s="285"/>
    </row>
    <row r="409" spans="1:9">
      <c r="A409" s="100" t="s">
        <v>425</v>
      </c>
      <c r="B409" s="100" t="s">
        <v>964</v>
      </c>
      <c r="C409" s="100" t="s">
        <v>431</v>
      </c>
      <c r="D409" s="101" t="s">
        <v>174</v>
      </c>
      <c r="E409" s="100" t="s">
        <v>451</v>
      </c>
      <c r="F409" s="102">
        <v>1</v>
      </c>
      <c r="G409" s="103">
        <v>5.23</v>
      </c>
      <c r="H409" s="103">
        <v>5.23</v>
      </c>
      <c r="I409" s="285">
        <f>SUM(I410:I413)</f>
        <v>5.2461370000000001</v>
      </c>
    </row>
    <row r="410" spans="1:9" ht="28.5">
      <c r="A410" s="111" t="s">
        <v>434</v>
      </c>
      <c r="B410" s="111" t="s">
        <v>519</v>
      </c>
      <c r="C410" s="111" t="s">
        <v>431</v>
      </c>
      <c r="D410" s="112" t="s">
        <v>492</v>
      </c>
      <c r="E410" s="111" t="s">
        <v>520</v>
      </c>
      <c r="F410" s="113">
        <v>6.3100000000000003E-2</v>
      </c>
      <c r="G410" s="114">
        <v>16.809999999999999</v>
      </c>
      <c r="H410" s="114">
        <v>1.06</v>
      </c>
      <c r="I410" s="285">
        <f t="shared" ref="I410:I413" si="50">F410*G410</f>
        <v>1.060711</v>
      </c>
    </row>
    <row r="411" spans="1:9" ht="28.5">
      <c r="A411" s="111" t="s">
        <v>434</v>
      </c>
      <c r="B411" s="111" t="s">
        <v>959</v>
      </c>
      <c r="C411" s="111" t="s">
        <v>431</v>
      </c>
      <c r="D411" s="112" t="s">
        <v>960</v>
      </c>
      <c r="E411" s="111" t="s">
        <v>520</v>
      </c>
      <c r="F411" s="113">
        <v>1.5800000000000002E-2</v>
      </c>
      <c r="G411" s="114">
        <v>20.47</v>
      </c>
      <c r="H411" s="114">
        <v>0.32</v>
      </c>
      <c r="I411" s="285">
        <f t="shared" si="50"/>
        <v>0.32342599999999999</v>
      </c>
    </row>
    <row r="412" spans="1:9">
      <c r="A412" s="115" t="s">
        <v>437</v>
      </c>
      <c r="B412" s="115" t="s">
        <v>965</v>
      </c>
      <c r="C412" s="115" t="s">
        <v>431</v>
      </c>
      <c r="D412" s="116" t="s">
        <v>966</v>
      </c>
      <c r="E412" s="115" t="s">
        <v>60</v>
      </c>
      <c r="F412" s="117">
        <v>0.1</v>
      </c>
      <c r="G412" s="118">
        <v>4.37</v>
      </c>
      <c r="H412" s="118">
        <v>0.43</v>
      </c>
      <c r="I412" s="285">
        <f t="shared" si="50"/>
        <v>0.43700000000000006</v>
      </c>
    </row>
    <row r="413" spans="1:9">
      <c r="A413" s="115" t="s">
        <v>437</v>
      </c>
      <c r="B413" s="115" t="s">
        <v>967</v>
      </c>
      <c r="C413" s="115" t="s">
        <v>431</v>
      </c>
      <c r="D413" s="116" t="s">
        <v>968</v>
      </c>
      <c r="E413" s="115" t="s">
        <v>60</v>
      </c>
      <c r="F413" s="117">
        <v>2.5</v>
      </c>
      <c r="G413" s="118">
        <v>1.37</v>
      </c>
      <c r="H413" s="118">
        <v>3.42</v>
      </c>
      <c r="I413" s="285">
        <f t="shared" si="50"/>
        <v>3.4250000000000003</v>
      </c>
    </row>
    <row r="414" spans="1:9">
      <c r="A414" s="104"/>
      <c r="B414" s="104"/>
      <c r="C414" s="104"/>
      <c r="D414" s="104"/>
      <c r="E414" s="104"/>
      <c r="F414" s="105"/>
      <c r="G414" s="106"/>
      <c r="H414" s="107"/>
      <c r="I414" s="285"/>
    </row>
    <row r="415" spans="1:9">
      <c r="A415" s="108"/>
      <c r="B415" s="108"/>
      <c r="C415" s="108"/>
      <c r="D415" s="108"/>
      <c r="E415" s="108"/>
      <c r="F415" s="109"/>
      <c r="G415" s="110"/>
      <c r="H415" s="110"/>
      <c r="I415" s="285"/>
    </row>
    <row r="416" spans="1:9">
      <c r="A416" s="97" t="s">
        <v>969</v>
      </c>
      <c r="B416" s="97" t="s">
        <v>418</v>
      </c>
      <c r="C416" s="97" t="s">
        <v>419</v>
      </c>
      <c r="D416" s="98" t="s">
        <v>420</v>
      </c>
      <c r="E416" s="97" t="s">
        <v>421</v>
      </c>
      <c r="F416" s="99" t="s">
        <v>422</v>
      </c>
      <c r="G416" s="97" t="s">
        <v>423</v>
      </c>
      <c r="H416" s="97" t="s">
        <v>424</v>
      </c>
      <c r="I416" s="285"/>
    </row>
    <row r="417" spans="1:9" ht="28.5">
      <c r="A417" s="100" t="s">
        <v>425</v>
      </c>
      <c r="B417" s="100" t="s">
        <v>970</v>
      </c>
      <c r="C417" s="100" t="s">
        <v>431</v>
      </c>
      <c r="D417" s="101" t="s">
        <v>176</v>
      </c>
      <c r="E417" s="100" t="s">
        <v>8</v>
      </c>
      <c r="F417" s="102">
        <v>1</v>
      </c>
      <c r="G417" s="103">
        <v>69.099999999999994</v>
      </c>
      <c r="H417" s="103">
        <v>69.099999999999994</v>
      </c>
      <c r="I417" s="285">
        <f>SUM(I418:I420)</f>
        <v>69.105677999999997</v>
      </c>
    </row>
    <row r="418" spans="1:9" ht="28.5">
      <c r="A418" s="111" t="s">
        <v>434</v>
      </c>
      <c r="B418" s="111" t="s">
        <v>519</v>
      </c>
      <c r="C418" s="111" t="s">
        <v>431</v>
      </c>
      <c r="D418" s="112" t="s">
        <v>492</v>
      </c>
      <c r="E418" s="111" t="s">
        <v>520</v>
      </c>
      <c r="F418" s="113">
        <v>0.72719999999999996</v>
      </c>
      <c r="G418" s="114">
        <v>16.809999999999999</v>
      </c>
      <c r="H418" s="114">
        <v>12.22</v>
      </c>
      <c r="I418" s="285">
        <f t="shared" ref="I418:I420" si="51">F418*G418</f>
        <v>12.224231999999999</v>
      </c>
    </row>
    <row r="419" spans="1:9" ht="28.5">
      <c r="A419" s="111" t="s">
        <v>434</v>
      </c>
      <c r="B419" s="111" t="s">
        <v>959</v>
      </c>
      <c r="C419" s="111" t="s">
        <v>431</v>
      </c>
      <c r="D419" s="112" t="s">
        <v>960</v>
      </c>
      <c r="E419" s="111" t="s">
        <v>520</v>
      </c>
      <c r="F419" s="113">
        <v>0.18179999999999999</v>
      </c>
      <c r="G419" s="114">
        <v>20.47</v>
      </c>
      <c r="H419" s="114">
        <v>3.72</v>
      </c>
      <c r="I419" s="285">
        <f t="shared" si="51"/>
        <v>3.7214459999999994</v>
      </c>
    </row>
    <row r="420" spans="1:9" ht="42.75">
      <c r="A420" s="115" t="s">
        <v>437</v>
      </c>
      <c r="B420" s="115" t="s">
        <v>971</v>
      </c>
      <c r="C420" s="115" t="s">
        <v>431</v>
      </c>
      <c r="D420" s="116" t="s">
        <v>972</v>
      </c>
      <c r="E420" s="115" t="s">
        <v>8</v>
      </c>
      <c r="F420" s="117">
        <v>1</v>
      </c>
      <c r="G420" s="118">
        <v>53.16</v>
      </c>
      <c r="H420" s="118">
        <v>53.16</v>
      </c>
      <c r="I420" s="285">
        <f t="shared" si="51"/>
        <v>53.16</v>
      </c>
    </row>
    <row r="421" spans="1:9">
      <c r="A421" s="104"/>
      <c r="B421" s="104"/>
      <c r="C421" s="104"/>
      <c r="D421" s="104"/>
      <c r="E421" s="104"/>
      <c r="F421" s="105"/>
      <c r="G421" s="106"/>
      <c r="H421" s="107"/>
      <c r="I421" s="285"/>
    </row>
    <row r="422" spans="1:9">
      <c r="A422" s="108"/>
      <c r="B422" s="108"/>
      <c r="C422" s="108"/>
      <c r="D422" s="108"/>
      <c r="E422" s="108"/>
      <c r="F422" s="109"/>
      <c r="G422" s="110"/>
      <c r="H422" s="110"/>
      <c r="I422" s="285"/>
    </row>
    <row r="423" spans="1:9">
      <c r="A423" s="92" t="s">
        <v>973</v>
      </c>
      <c r="B423" s="92"/>
      <c r="C423" s="92"/>
      <c r="D423" s="93" t="s">
        <v>180</v>
      </c>
      <c r="E423" s="94"/>
      <c r="F423" s="95"/>
      <c r="G423" s="92"/>
      <c r="H423" s="96"/>
      <c r="I423" s="285"/>
    </row>
    <row r="424" spans="1:9">
      <c r="A424" s="97" t="s">
        <v>974</v>
      </c>
      <c r="B424" s="97" t="s">
        <v>418</v>
      </c>
      <c r="C424" s="97" t="s">
        <v>419</v>
      </c>
      <c r="D424" s="98" t="s">
        <v>420</v>
      </c>
      <c r="E424" s="97" t="s">
        <v>421</v>
      </c>
      <c r="F424" s="99" t="s">
        <v>422</v>
      </c>
      <c r="G424" s="97" t="s">
        <v>423</v>
      </c>
      <c r="H424" s="97" t="s">
        <v>424</v>
      </c>
      <c r="I424" s="285"/>
    </row>
    <row r="425" spans="1:9" ht="28.5">
      <c r="A425" s="100" t="s">
        <v>425</v>
      </c>
      <c r="B425" s="100" t="s">
        <v>975</v>
      </c>
      <c r="C425" s="100" t="s">
        <v>427</v>
      </c>
      <c r="D425" s="101" t="s">
        <v>183</v>
      </c>
      <c r="E425" s="100" t="s">
        <v>542</v>
      </c>
      <c r="F425" s="102">
        <v>1</v>
      </c>
      <c r="G425" s="119" t="s">
        <v>976</v>
      </c>
      <c r="H425" s="119" t="s">
        <v>976</v>
      </c>
      <c r="I425" s="285">
        <f>SUM(I426:I429)</f>
        <v>165.32650000000001</v>
      </c>
    </row>
    <row r="426" spans="1:9" ht="28.5">
      <c r="A426" s="111" t="s">
        <v>434</v>
      </c>
      <c r="B426" s="111" t="s">
        <v>977</v>
      </c>
      <c r="C426" s="111" t="s">
        <v>427</v>
      </c>
      <c r="D426" s="112" t="s">
        <v>978</v>
      </c>
      <c r="E426" s="111" t="s">
        <v>464</v>
      </c>
      <c r="F426" s="113">
        <v>0.95</v>
      </c>
      <c r="G426" s="121" t="s">
        <v>979</v>
      </c>
      <c r="H426" s="121" t="s">
        <v>980</v>
      </c>
      <c r="I426" s="285">
        <f t="shared" ref="I426:I429" si="52">F426*G426</f>
        <v>21.365499999999997</v>
      </c>
    </row>
    <row r="427" spans="1:9" ht="28.5">
      <c r="A427" s="111" t="s">
        <v>434</v>
      </c>
      <c r="B427" s="111" t="s">
        <v>981</v>
      </c>
      <c r="C427" s="111" t="s">
        <v>427</v>
      </c>
      <c r="D427" s="112" t="s">
        <v>982</v>
      </c>
      <c r="E427" s="111" t="s">
        <v>464</v>
      </c>
      <c r="F427" s="113">
        <v>0.95</v>
      </c>
      <c r="G427" s="121" t="s">
        <v>983</v>
      </c>
      <c r="H427" s="121" t="s">
        <v>984</v>
      </c>
      <c r="I427" s="285">
        <f t="shared" si="52"/>
        <v>16.320999999999998</v>
      </c>
    </row>
    <row r="428" spans="1:9" ht="57">
      <c r="A428" s="115" t="s">
        <v>437</v>
      </c>
      <c r="B428" s="115" t="s">
        <v>985</v>
      </c>
      <c r="C428" s="115" t="s">
        <v>427</v>
      </c>
      <c r="D428" s="116" t="s">
        <v>986</v>
      </c>
      <c r="E428" s="115" t="s">
        <v>676</v>
      </c>
      <c r="F428" s="117">
        <v>2</v>
      </c>
      <c r="G428" s="120" t="s">
        <v>498</v>
      </c>
      <c r="H428" s="120" t="s">
        <v>554</v>
      </c>
      <c r="I428" s="285">
        <f t="shared" si="52"/>
        <v>0.44</v>
      </c>
    </row>
    <row r="429" spans="1:9" ht="28.5">
      <c r="A429" s="115" t="s">
        <v>437</v>
      </c>
      <c r="B429" s="115" t="s">
        <v>987</v>
      </c>
      <c r="C429" s="115" t="s">
        <v>427</v>
      </c>
      <c r="D429" s="116" t="s">
        <v>988</v>
      </c>
      <c r="E429" s="115" t="s">
        <v>676</v>
      </c>
      <c r="F429" s="117">
        <v>1</v>
      </c>
      <c r="G429" s="120" t="s">
        <v>989</v>
      </c>
      <c r="H429" s="120" t="s">
        <v>989</v>
      </c>
      <c r="I429" s="285">
        <f t="shared" si="52"/>
        <v>127.2</v>
      </c>
    </row>
    <row r="430" spans="1:9">
      <c r="A430" s="104"/>
      <c r="B430" s="104"/>
      <c r="C430" s="104"/>
      <c r="D430" s="104"/>
      <c r="E430" s="104"/>
      <c r="F430" s="105"/>
      <c r="G430" s="106"/>
      <c r="H430" s="107"/>
      <c r="I430" s="285"/>
    </row>
    <row r="431" spans="1:9">
      <c r="A431" s="108"/>
      <c r="B431" s="108"/>
      <c r="C431" s="108"/>
      <c r="D431" s="108"/>
      <c r="E431" s="108"/>
      <c r="F431" s="109"/>
      <c r="G431" s="110"/>
      <c r="H431" s="110"/>
      <c r="I431" s="285"/>
    </row>
    <row r="432" spans="1:9">
      <c r="A432" s="97" t="s">
        <v>990</v>
      </c>
      <c r="B432" s="97" t="s">
        <v>418</v>
      </c>
      <c r="C432" s="97" t="s">
        <v>419</v>
      </c>
      <c r="D432" s="98" t="s">
        <v>420</v>
      </c>
      <c r="E432" s="97" t="s">
        <v>421</v>
      </c>
      <c r="F432" s="99" t="s">
        <v>422</v>
      </c>
      <c r="G432" s="97" t="s">
        <v>423</v>
      </c>
      <c r="H432" s="97" t="s">
        <v>424</v>
      </c>
      <c r="I432" s="285"/>
    </row>
    <row r="433" spans="1:9">
      <c r="A433" s="100" t="s">
        <v>425</v>
      </c>
      <c r="B433" s="100" t="s">
        <v>991</v>
      </c>
      <c r="C433" s="100" t="s">
        <v>427</v>
      </c>
      <c r="D433" s="101" t="s">
        <v>187</v>
      </c>
      <c r="E433" s="100" t="s">
        <v>542</v>
      </c>
      <c r="F433" s="102">
        <v>1</v>
      </c>
      <c r="G433" s="119" t="s">
        <v>992</v>
      </c>
      <c r="H433" s="119" t="s">
        <v>992</v>
      </c>
      <c r="I433" s="285">
        <f>SUM(I434:I435)</f>
        <v>31.52</v>
      </c>
    </row>
    <row r="434" spans="1:9" ht="28.5">
      <c r="A434" s="111" t="s">
        <v>434</v>
      </c>
      <c r="B434" s="111" t="s">
        <v>536</v>
      </c>
      <c r="C434" s="111" t="s">
        <v>427</v>
      </c>
      <c r="D434" s="112" t="s">
        <v>522</v>
      </c>
      <c r="E434" s="111" t="s">
        <v>464</v>
      </c>
      <c r="F434" s="113">
        <v>0.5</v>
      </c>
      <c r="G434" s="121" t="s">
        <v>537</v>
      </c>
      <c r="H434" s="121" t="s">
        <v>993</v>
      </c>
      <c r="I434" s="285">
        <f t="shared" ref="I434:I435" si="53">F434*G434</f>
        <v>11.55</v>
      </c>
    </row>
    <row r="435" spans="1:9" ht="42.75">
      <c r="A435" s="115" t="s">
        <v>437</v>
      </c>
      <c r="B435" s="115" t="s">
        <v>994</v>
      </c>
      <c r="C435" s="115" t="s">
        <v>427</v>
      </c>
      <c r="D435" s="116" t="s">
        <v>995</v>
      </c>
      <c r="E435" s="115" t="s">
        <v>676</v>
      </c>
      <c r="F435" s="117">
        <v>1</v>
      </c>
      <c r="G435" s="120" t="s">
        <v>996</v>
      </c>
      <c r="H435" s="120" t="s">
        <v>996</v>
      </c>
      <c r="I435" s="285">
        <f t="shared" si="53"/>
        <v>19.97</v>
      </c>
    </row>
    <row r="436" spans="1:9">
      <c r="A436" s="104"/>
      <c r="B436" s="104"/>
      <c r="C436" s="104"/>
      <c r="D436" s="104"/>
      <c r="E436" s="104"/>
      <c r="F436" s="105"/>
      <c r="G436" s="106"/>
      <c r="H436" s="107"/>
      <c r="I436" s="285"/>
    </row>
    <row r="437" spans="1:9">
      <c r="A437" s="108"/>
      <c r="B437" s="108"/>
      <c r="C437" s="108"/>
      <c r="D437" s="108"/>
      <c r="E437" s="108"/>
      <c r="F437" s="109"/>
      <c r="G437" s="110"/>
      <c r="H437" s="110"/>
      <c r="I437" s="285"/>
    </row>
    <row r="438" spans="1:9">
      <c r="A438" s="92" t="s">
        <v>997</v>
      </c>
      <c r="B438" s="92"/>
      <c r="C438" s="92"/>
      <c r="D438" s="93" t="s">
        <v>190</v>
      </c>
      <c r="E438" s="94"/>
      <c r="F438" s="95"/>
      <c r="G438" s="92"/>
      <c r="H438" s="96"/>
      <c r="I438" s="285"/>
    </row>
    <row r="439" spans="1:9" ht="30">
      <c r="A439" s="92" t="s">
        <v>998</v>
      </c>
      <c r="B439" s="92"/>
      <c r="C439" s="92"/>
      <c r="D439" s="93" t="s">
        <v>192</v>
      </c>
      <c r="E439" s="94"/>
      <c r="F439" s="95"/>
      <c r="G439" s="92"/>
      <c r="H439" s="96"/>
      <c r="I439" s="285"/>
    </row>
    <row r="440" spans="1:9">
      <c r="A440" s="97" t="s">
        <v>999</v>
      </c>
      <c r="B440" s="97" t="s">
        <v>418</v>
      </c>
      <c r="C440" s="97" t="s">
        <v>419</v>
      </c>
      <c r="D440" s="98" t="s">
        <v>420</v>
      </c>
      <c r="E440" s="97" t="s">
        <v>421</v>
      </c>
      <c r="F440" s="99" t="s">
        <v>422</v>
      </c>
      <c r="G440" s="97" t="s">
        <v>423</v>
      </c>
      <c r="H440" s="97" t="s">
        <v>424</v>
      </c>
      <c r="I440" s="285"/>
    </row>
    <row r="441" spans="1:9" ht="57">
      <c r="A441" s="100" t="s">
        <v>425</v>
      </c>
      <c r="B441" s="100" t="s">
        <v>1000</v>
      </c>
      <c r="C441" s="100" t="s">
        <v>431</v>
      </c>
      <c r="D441" s="101" t="s">
        <v>194</v>
      </c>
      <c r="E441" s="100" t="s">
        <v>8</v>
      </c>
      <c r="F441" s="102">
        <v>1</v>
      </c>
      <c r="G441" s="103">
        <v>240.34</v>
      </c>
      <c r="H441" s="103">
        <v>240.34</v>
      </c>
      <c r="I441" s="285">
        <f>SUM(I442:I446)</f>
        <v>240.34</v>
      </c>
    </row>
    <row r="442" spans="1:9" ht="28.5">
      <c r="A442" s="111" t="s">
        <v>434</v>
      </c>
      <c r="B442" s="111" t="s">
        <v>1001</v>
      </c>
      <c r="C442" s="111" t="s">
        <v>431</v>
      </c>
      <c r="D442" s="112" t="s">
        <v>1002</v>
      </c>
      <c r="E442" s="111" t="s">
        <v>8</v>
      </c>
      <c r="F442" s="113">
        <v>1</v>
      </c>
      <c r="G442" s="114">
        <v>19.91</v>
      </c>
      <c r="H442" s="114">
        <v>19.91</v>
      </c>
      <c r="I442" s="285">
        <f t="shared" ref="I442:I446" si="54">F442*G442</f>
        <v>19.91</v>
      </c>
    </row>
    <row r="443" spans="1:9" ht="28.5">
      <c r="A443" s="111" t="s">
        <v>434</v>
      </c>
      <c r="B443" s="111" t="s">
        <v>1003</v>
      </c>
      <c r="C443" s="111" t="s">
        <v>431</v>
      </c>
      <c r="D443" s="112" t="s">
        <v>1004</v>
      </c>
      <c r="E443" s="111" t="s">
        <v>8</v>
      </c>
      <c r="F443" s="113">
        <v>1</v>
      </c>
      <c r="G443" s="114">
        <v>8.31</v>
      </c>
      <c r="H443" s="114">
        <v>8.31</v>
      </c>
      <c r="I443" s="285">
        <f t="shared" si="54"/>
        <v>8.31</v>
      </c>
    </row>
    <row r="444" spans="1:9" ht="42.75">
      <c r="A444" s="111" t="s">
        <v>434</v>
      </c>
      <c r="B444" s="111" t="s">
        <v>1005</v>
      </c>
      <c r="C444" s="111" t="s">
        <v>431</v>
      </c>
      <c r="D444" s="112" t="s">
        <v>1006</v>
      </c>
      <c r="E444" s="111" t="s">
        <v>8</v>
      </c>
      <c r="F444" s="113">
        <v>1</v>
      </c>
      <c r="G444" s="114">
        <v>6.75</v>
      </c>
      <c r="H444" s="114">
        <v>6.75</v>
      </c>
      <c r="I444" s="285">
        <f t="shared" si="54"/>
        <v>6.75</v>
      </c>
    </row>
    <row r="445" spans="1:9" ht="42.75">
      <c r="A445" s="111" t="s">
        <v>434</v>
      </c>
      <c r="B445" s="111" t="s">
        <v>1007</v>
      </c>
      <c r="C445" s="111" t="s">
        <v>431</v>
      </c>
      <c r="D445" s="112" t="s">
        <v>1008</v>
      </c>
      <c r="E445" s="111" t="s">
        <v>8</v>
      </c>
      <c r="F445" s="113">
        <v>1</v>
      </c>
      <c r="G445" s="114">
        <v>61.84</v>
      </c>
      <c r="H445" s="114">
        <v>61.84</v>
      </c>
      <c r="I445" s="285">
        <f t="shared" si="54"/>
        <v>61.84</v>
      </c>
    </row>
    <row r="446" spans="1:9" ht="42.75">
      <c r="A446" s="111" t="s">
        <v>434</v>
      </c>
      <c r="B446" s="111" t="s">
        <v>1009</v>
      </c>
      <c r="C446" s="111" t="s">
        <v>431</v>
      </c>
      <c r="D446" s="112" t="s">
        <v>1010</v>
      </c>
      <c r="E446" s="111" t="s">
        <v>8</v>
      </c>
      <c r="F446" s="113">
        <v>1</v>
      </c>
      <c r="G446" s="114">
        <v>143.53</v>
      </c>
      <c r="H446" s="114">
        <v>143.53</v>
      </c>
      <c r="I446" s="285">
        <f t="shared" si="54"/>
        <v>143.53</v>
      </c>
    </row>
    <row r="447" spans="1:9">
      <c r="A447" s="104"/>
      <c r="B447" s="104"/>
      <c r="C447" s="104"/>
      <c r="D447" s="104"/>
      <c r="E447" s="104"/>
      <c r="F447" s="105"/>
      <c r="G447" s="106"/>
      <c r="H447" s="107"/>
      <c r="I447" s="285"/>
    </row>
    <row r="448" spans="1:9">
      <c r="A448" s="108"/>
      <c r="B448" s="108"/>
      <c r="C448" s="108"/>
      <c r="D448" s="108"/>
      <c r="E448" s="108"/>
      <c r="F448" s="109"/>
      <c r="G448" s="110"/>
      <c r="H448" s="110"/>
      <c r="I448" s="285"/>
    </row>
    <row r="449" spans="1:9">
      <c r="A449" s="97" t="s">
        <v>1011</v>
      </c>
      <c r="B449" s="97" t="s">
        <v>418</v>
      </c>
      <c r="C449" s="97" t="s">
        <v>419</v>
      </c>
      <c r="D449" s="98" t="s">
        <v>420</v>
      </c>
      <c r="E449" s="97" t="s">
        <v>421</v>
      </c>
      <c r="F449" s="99" t="s">
        <v>422</v>
      </c>
      <c r="G449" s="97" t="s">
        <v>423</v>
      </c>
      <c r="H449" s="97" t="s">
        <v>424</v>
      </c>
      <c r="I449" s="285"/>
    </row>
    <row r="450" spans="1:9" ht="28.5">
      <c r="A450" s="100" t="s">
        <v>425</v>
      </c>
      <c r="B450" s="100" t="s">
        <v>1012</v>
      </c>
      <c r="C450" s="100" t="s">
        <v>431</v>
      </c>
      <c r="D450" s="101" t="s">
        <v>196</v>
      </c>
      <c r="E450" s="100" t="s">
        <v>8</v>
      </c>
      <c r="F450" s="102">
        <v>1</v>
      </c>
      <c r="G450" s="103">
        <v>45.41</v>
      </c>
      <c r="H450" s="103">
        <v>45.41</v>
      </c>
      <c r="I450" s="285">
        <f>SUM(I451:I454)</f>
        <v>45.435435999999996</v>
      </c>
    </row>
    <row r="451" spans="1:9" ht="28.5">
      <c r="A451" s="111" t="s">
        <v>434</v>
      </c>
      <c r="B451" s="111" t="s">
        <v>1013</v>
      </c>
      <c r="C451" s="111" t="s">
        <v>431</v>
      </c>
      <c r="D451" s="112" t="s">
        <v>1014</v>
      </c>
      <c r="E451" s="111" t="s">
        <v>520</v>
      </c>
      <c r="F451" s="113">
        <v>0.1525</v>
      </c>
      <c r="G451" s="114">
        <v>22.49</v>
      </c>
      <c r="H451" s="114">
        <v>3.42</v>
      </c>
      <c r="I451" s="285">
        <f t="shared" ref="I451:I454" si="55">F451*G451</f>
        <v>3.4297249999999995</v>
      </c>
    </row>
    <row r="452" spans="1:9" ht="28.5">
      <c r="A452" s="111" t="s">
        <v>434</v>
      </c>
      <c r="B452" s="111" t="s">
        <v>519</v>
      </c>
      <c r="C452" s="111" t="s">
        <v>431</v>
      </c>
      <c r="D452" s="112" t="s">
        <v>492</v>
      </c>
      <c r="E452" s="111" t="s">
        <v>520</v>
      </c>
      <c r="F452" s="113">
        <v>4.8099999999999997E-2</v>
      </c>
      <c r="G452" s="114">
        <v>16.809999999999999</v>
      </c>
      <c r="H452" s="114">
        <v>0.8</v>
      </c>
      <c r="I452" s="285">
        <f t="shared" si="55"/>
        <v>0.80856099999999986</v>
      </c>
    </row>
    <row r="453" spans="1:9">
      <c r="A453" s="115" t="s">
        <v>437</v>
      </c>
      <c r="B453" s="115" t="s">
        <v>1015</v>
      </c>
      <c r="C453" s="115" t="s">
        <v>431</v>
      </c>
      <c r="D453" s="116" t="s">
        <v>1016</v>
      </c>
      <c r="E453" s="115" t="s">
        <v>8</v>
      </c>
      <c r="F453" s="117">
        <v>2.1000000000000001E-2</v>
      </c>
      <c r="G453" s="118">
        <v>4.1500000000000004</v>
      </c>
      <c r="H453" s="118">
        <v>0.08</v>
      </c>
      <c r="I453" s="285">
        <f t="shared" si="55"/>
        <v>8.7150000000000019E-2</v>
      </c>
    </row>
    <row r="454" spans="1:9" ht="42.75">
      <c r="A454" s="115" t="s">
        <v>437</v>
      </c>
      <c r="B454" s="115" t="s">
        <v>1017</v>
      </c>
      <c r="C454" s="115" t="s">
        <v>431</v>
      </c>
      <c r="D454" s="116" t="s">
        <v>1018</v>
      </c>
      <c r="E454" s="115" t="s">
        <v>8</v>
      </c>
      <c r="F454" s="117">
        <v>1</v>
      </c>
      <c r="G454" s="118">
        <v>41.11</v>
      </c>
      <c r="H454" s="118">
        <v>41.11</v>
      </c>
      <c r="I454" s="285">
        <f t="shared" si="55"/>
        <v>41.11</v>
      </c>
    </row>
    <row r="455" spans="1:9">
      <c r="A455" s="104"/>
      <c r="B455" s="104"/>
      <c r="C455" s="104"/>
      <c r="D455" s="104"/>
      <c r="E455" s="104"/>
      <c r="F455" s="105"/>
      <c r="G455" s="106"/>
      <c r="H455" s="107"/>
      <c r="I455" s="285"/>
    </row>
    <row r="456" spans="1:9">
      <c r="A456" s="108"/>
      <c r="B456" s="108"/>
      <c r="C456" s="108"/>
      <c r="D456" s="108"/>
      <c r="E456" s="108"/>
      <c r="F456" s="109"/>
      <c r="G456" s="110"/>
      <c r="H456" s="110"/>
      <c r="I456" s="285"/>
    </row>
    <row r="457" spans="1:9">
      <c r="A457" s="97" t="s">
        <v>1019</v>
      </c>
      <c r="B457" s="97" t="s">
        <v>418</v>
      </c>
      <c r="C457" s="97" t="s">
        <v>419</v>
      </c>
      <c r="D457" s="98" t="s">
        <v>420</v>
      </c>
      <c r="E457" s="97" t="s">
        <v>421</v>
      </c>
      <c r="F457" s="99" t="s">
        <v>422</v>
      </c>
      <c r="G457" s="97" t="s">
        <v>423</v>
      </c>
      <c r="H457" s="97" t="s">
        <v>424</v>
      </c>
      <c r="I457" s="285"/>
    </row>
    <row r="458" spans="1:9" ht="28.5">
      <c r="A458" s="100" t="s">
        <v>425</v>
      </c>
      <c r="B458" s="100" t="s">
        <v>1020</v>
      </c>
      <c r="C458" s="100" t="s">
        <v>622</v>
      </c>
      <c r="D458" s="101" t="s">
        <v>199</v>
      </c>
      <c r="E458" s="100" t="s">
        <v>8</v>
      </c>
      <c r="F458" s="102">
        <v>1</v>
      </c>
      <c r="G458" s="103">
        <v>1364.52</v>
      </c>
      <c r="H458" s="103">
        <v>1364.52</v>
      </c>
      <c r="I458" s="285">
        <f>SUM(I459:I460)</f>
        <v>1364.5286999999998</v>
      </c>
    </row>
    <row r="459" spans="1:9" ht="28.5">
      <c r="A459" s="111" t="s">
        <v>434</v>
      </c>
      <c r="B459" s="111" t="s">
        <v>1013</v>
      </c>
      <c r="C459" s="111" t="s">
        <v>431</v>
      </c>
      <c r="D459" s="112" t="s">
        <v>1014</v>
      </c>
      <c r="E459" s="111" t="s">
        <v>520</v>
      </c>
      <c r="F459" s="113">
        <v>0.63</v>
      </c>
      <c r="G459" s="114">
        <v>22.49</v>
      </c>
      <c r="H459" s="114">
        <v>14.16</v>
      </c>
      <c r="I459" s="285">
        <f t="shared" ref="I459:I460" si="56">F459*G459</f>
        <v>14.168699999999999</v>
      </c>
    </row>
    <row r="460" spans="1:9">
      <c r="A460" s="115" t="s">
        <v>437</v>
      </c>
      <c r="B460" s="115" t="s">
        <v>1021</v>
      </c>
      <c r="C460" s="115" t="s">
        <v>622</v>
      </c>
      <c r="D460" s="116" t="s">
        <v>1022</v>
      </c>
      <c r="E460" s="115" t="s">
        <v>184</v>
      </c>
      <c r="F460" s="117">
        <v>1</v>
      </c>
      <c r="G460" s="118">
        <v>1350.36</v>
      </c>
      <c r="H460" s="118">
        <v>1350.36</v>
      </c>
      <c r="I460" s="285">
        <f t="shared" si="56"/>
        <v>1350.36</v>
      </c>
    </row>
    <row r="461" spans="1:9">
      <c r="A461" s="104"/>
      <c r="B461" s="104"/>
      <c r="C461" s="104"/>
      <c r="D461" s="104"/>
      <c r="E461" s="104"/>
      <c r="F461" s="105"/>
      <c r="G461" s="106"/>
      <c r="H461" s="107"/>
      <c r="I461" s="285"/>
    </row>
    <row r="462" spans="1:9">
      <c r="A462" s="108"/>
      <c r="B462" s="108"/>
      <c r="C462" s="108"/>
      <c r="D462" s="108"/>
      <c r="E462" s="108"/>
      <c r="F462" s="109"/>
      <c r="G462" s="110"/>
      <c r="H462" s="110"/>
      <c r="I462" s="285"/>
    </row>
    <row r="463" spans="1:9">
      <c r="A463" s="97" t="s">
        <v>1023</v>
      </c>
      <c r="B463" s="97" t="s">
        <v>418</v>
      </c>
      <c r="C463" s="97" t="s">
        <v>419</v>
      </c>
      <c r="D463" s="98" t="s">
        <v>420</v>
      </c>
      <c r="E463" s="97" t="s">
        <v>421</v>
      </c>
      <c r="F463" s="99" t="s">
        <v>422</v>
      </c>
      <c r="G463" s="97" t="s">
        <v>423</v>
      </c>
      <c r="H463" s="97" t="s">
        <v>424</v>
      </c>
      <c r="I463" s="285"/>
    </row>
    <row r="464" spans="1:9" ht="42.75">
      <c r="A464" s="100" t="s">
        <v>425</v>
      </c>
      <c r="B464" s="100" t="s">
        <v>1024</v>
      </c>
      <c r="C464" s="100" t="s">
        <v>431</v>
      </c>
      <c r="D464" s="101" t="s">
        <v>201</v>
      </c>
      <c r="E464" s="100" t="s">
        <v>31</v>
      </c>
      <c r="F464" s="102">
        <v>1</v>
      </c>
      <c r="G464" s="103">
        <v>28.98</v>
      </c>
      <c r="H464" s="103">
        <v>28.98</v>
      </c>
      <c r="I464" s="285">
        <f>SUM(I465:I470)</f>
        <v>29.011928000000001</v>
      </c>
    </row>
    <row r="465" spans="1:9" ht="28.5">
      <c r="A465" s="111" t="s">
        <v>434</v>
      </c>
      <c r="B465" s="111" t="s">
        <v>1025</v>
      </c>
      <c r="C465" s="111" t="s">
        <v>431</v>
      </c>
      <c r="D465" s="112" t="s">
        <v>1026</v>
      </c>
      <c r="E465" s="111" t="s">
        <v>520</v>
      </c>
      <c r="F465" s="113">
        <v>0.38</v>
      </c>
      <c r="G465" s="114">
        <v>18.010000000000002</v>
      </c>
      <c r="H465" s="114">
        <v>6.84</v>
      </c>
      <c r="I465" s="285">
        <f t="shared" ref="I465:I470" si="57">F465*G465</f>
        <v>6.8438000000000008</v>
      </c>
    </row>
    <row r="466" spans="1:9" ht="28.5">
      <c r="A466" s="111" t="s">
        <v>434</v>
      </c>
      <c r="B466" s="111" t="s">
        <v>1013</v>
      </c>
      <c r="C466" s="111" t="s">
        <v>431</v>
      </c>
      <c r="D466" s="112" t="s">
        <v>1014</v>
      </c>
      <c r="E466" s="111" t="s">
        <v>520</v>
      </c>
      <c r="F466" s="113">
        <v>0.38</v>
      </c>
      <c r="G466" s="114">
        <v>22.49</v>
      </c>
      <c r="H466" s="114">
        <v>8.5399999999999991</v>
      </c>
      <c r="I466" s="285">
        <f t="shared" si="57"/>
        <v>8.5461999999999989</v>
      </c>
    </row>
    <row r="467" spans="1:9">
      <c r="A467" s="115" t="s">
        <v>437</v>
      </c>
      <c r="B467" s="115" t="s">
        <v>1027</v>
      </c>
      <c r="C467" s="115" t="s">
        <v>431</v>
      </c>
      <c r="D467" s="116" t="s">
        <v>1028</v>
      </c>
      <c r="E467" s="115" t="s">
        <v>8</v>
      </c>
      <c r="F467" s="117">
        <v>1.0800000000000001E-2</v>
      </c>
      <c r="G467" s="118">
        <v>55.4</v>
      </c>
      <c r="H467" s="118">
        <v>0.59</v>
      </c>
      <c r="I467" s="285">
        <f t="shared" si="57"/>
        <v>0.59831999999999996</v>
      </c>
    </row>
    <row r="468" spans="1:9">
      <c r="A468" s="115" t="s">
        <v>437</v>
      </c>
      <c r="B468" s="115" t="s">
        <v>1029</v>
      </c>
      <c r="C468" s="115" t="s">
        <v>431</v>
      </c>
      <c r="D468" s="116" t="s">
        <v>1030</v>
      </c>
      <c r="E468" s="115" t="s">
        <v>8</v>
      </c>
      <c r="F468" s="117">
        <v>0.127</v>
      </c>
      <c r="G468" s="118">
        <v>2.06</v>
      </c>
      <c r="H468" s="118">
        <v>0.26</v>
      </c>
      <c r="I468" s="285">
        <f t="shared" si="57"/>
        <v>0.26162000000000002</v>
      </c>
    </row>
    <row r="469" spans="1:9" ht="28.5">
      <c r="A469" s="115" t="s">
        <v>437</v>
      </c>
      <c r="B469" s="115" t="s">
        <v>1031</v>
      </c>
      <c r="C469" s="115" t="s">
        <v>431</v>
      </c>
      <c r="D469" s="116" t="s">
        <v>1032</v>
      </c>
      <c r="E469" s="115" t="s">
        <v>8</v>
      </c>
      <c r="F469" s="117">
        <v>1.6299999999999999E-2</v>
      </c>
      <c r="G469" s="118">
        <v>62.76</v>
      </c>
      <c r="H469" s="118">
        <v>1.02</v>
      </c>
      <c r="I469" s="285">
        <f t="shared" si="57"/>
        <v>1.0229879999999998</v>
      </c>
    </row>
    <row r="470" spans="1:9" ht="28.5">
      <c r="A470" s="115" t="s">
        <v>437</v>
      </c>
      <c r="B470" s="115" t="s">
        <v>1033</v>
      </c>
      <c r="C470" s="115" t="s">
        <v>431</v>
      </c>
      <c r="D470" s="116" t="s">
        <v>1034</v>
      </c>
      <c r="E470" s="115" t="s">
        <v>31</v>
      </c>
      <c r="F470" s="117">
        <v>1.05</v>
      </c>
      <c r="G470" s="118">
        <v>11.18</v>
      </c>
      <c r="H470" s="118">
        <v>11.73</v>
      </c>
      <c r="I470" s="285">
        <f t="shared" si="57"/>
        <v>11.739000000000001</v>
      </c>
    </row>
    <row r="471" spans="1:9">
      <c r="A471" s="104"/>
      <c r="B471" s="104"/>
      <c r="C471" s="104"/>
      <c r="D471" s="104"/>
      <c r="E471" s="104"/>
      <c r="F471" s="105"/>
      <c r="G471" s="106"/>
      <c r="H471" s="107"/>
      <c r="I471" s="285"/>
    </row>
    <row r="472" spans="1:9">
      <c r="A472" s="108"/>
      <c r="B472" s="108"/>
      <c r="C472" s="108"/>
      <c r="D472" s="108"/>
      <c r="E472" s="108"/>
      <c r="F472" s="109"/>
      <c r="G472" s="110"/>
      <c r="H472" s="110"/>
      <c r="I472" s="285"/>
    </row>
    <row r="473" spans="1:9">
      <c r="A473" s="97" t="s">
        <v>1035</v>
      </c>
      <c r="B473" s="97" t="s">
        <v>418</v>
      </c>
      <c r="C473" s="97" t="s">
        <v>419</v>
      </c>
      <c r="D473" s="98" t="s">
        <v>420</v>
      </c>
      <c r="E473" s="97" t="s">
        <v>421</v>
      </c>
      <c r="F473" s="99" t="s">
        <v>422</v>
      </c>
      <c r="G473" s="97" t="s">
        <v>423</v>
      </c>
      <c r="H473" s="97" t="s">
        <v>424</v>
      </c>
      <c r="I473" s="285"/>
    </row>
    <row r="474" spans="1:9" ht="42.75">
      <c r="A474" s="100" t="s">
        <v>425</v>
      </c>
      <c r="B474" s="100" t="s">
        <v>1036</v>
      </c>
      <c r="C474" s="100" t="s">
        <v>431</v>
      </c>
      <c r="D474" s="101" t="s">
        <v>203</v>
      </c>
      <c r="E474" s="100" t="s">
        <v>31</v>
      </c>
      <c r="F474" s="102">
        <v>1</v>
      </c>
      <c r="G474" s="103">
        <v>19.23</v>
      </c>
      <c r="H474" s="103">
        <v>19.23</v>
      </c>
      <c r="I474" s="285">
        <f>SUM(I475:I478)</f>
        <v>19.2545</v>
      </c>
    </row>
    <row r="475" spans="1:9" ht="28.5">
      <c r="A475" s="111" t="s">
        <v>434</v>
      </c>
      <c r="B475" s="111" t="s">
        <v>1025</v>
      </c>
      <c r="C475" s="111" t="s">
        <v>431</v>
      </c>
      <c r="D475" s="112" t="s">
        <v>1026</v>
      </c>
      <c r="E475" s="111" t="s">
        <v>520</v>
      </c>
      <c r="F475" s="113">
        <v>0.3</v>
      </c>
      <c r="G475" s="114">
        <v>18.010000000000002</v>
      </c>
      <c r="H475" s="114">
        <v>5.4</v>
      </c>
      <c r="I475" s="285">
        <f t="shared" ref="I475:I478" si="58">F475*G475</f>
        <v>5.4030000000000005</v>
      </c>
    </row>
    <row r="476" spans="1:9" ht="28.5">
      <c r="A476" s="111" t="s">
        <v>434</v>
      </c>
      <c r="B476" s="111" t="s">
        <v>1013</v>
      </c>
      <c r="C476" s="111" t="s">
        <v>431</v>
      </c>
      <c r="D476" s="112" t="s">
        <v>1014</v>
      </c>
      <c r="E476" s="111" t="s">
        <v>520</v>
      </c>
      <c r="F476" s="113">
        <v>0.3</v>
      </c>
      <c r="G476" s="114">
        <v>22.49</v>
      </c>
      <c r="H476" s="114">
        <v>6.74</v>
      </c>
      <c r="I476" s="285">
        <f t="shared" si="58"/>
        <v>6.746999999999999</v>
      </c>
    </row>
    <row r="477" spans="1:9">
      <c r="A477" s="115" t="s">
        <v>437</v>
      </c>
      <c r="B477" s="115" t="s">
        <v>1029</v>
      </c>
      <c r="C477" s="115" t="s">
        <v>431</v>
      </c>
      <c r="D477" s="116" t="s">
        <v>1030</v>
      </c>
      <c r="E477" s="115" t="s">
        <v>8</v>
      </c>
      <c r="F477" s="117">
        <v>0.1</v>
      </c>
      <c r="G477" s="118">
        <v>2.06</v>
      </c>
      <c r="H477" s="118">
        <v>0.2</v>
      </c>
      <c r="I477" s="285">
        <f t="shared" si="58"/>
        <v>0.20600000000000002</v>
      </c>
    </row>
    <row r="478" spans="1:9" ht="28.5">
      <c r="A478" s="115" t="s">
        <v>437</v>
      </c>
      <c r="B478" s="115" t="s">
        <v>1037</v>
      </c>
      <c r="C478" s="115" t="s">
        <v>431</v>
      </c>
      <c r="D478" s="116" t="s">
        <v>1038</v>
      </c>
      <c r="E478" s="115" t="s">
        <v>31</v>
      </c>
      <c r="F478" s="117">
        <v>1.05</v>
      </c>
      <c r="G478" s="118">
        <v>6.57</v>
      </c>
      <c r="H478" s="118">
        <v>6.89</v>
      </c>
      <c r="I478" s="285">
        <f t="shared" si="58"/>
        <v>6.8985000000000003</v>
      </c>
    </row>
    <row r="479" spans="1:9">
      <c r="A479" s="104"/>
      <c r="B479" s="104"/>
      <c r="C479" s="104"/>
      <c r="D479" s="104"/>
      <c r="E479" s="104"/>
      <c r="F479" s="105"/>
      <c r="G479" s="106"/>
      <c r="H479" s="107"/>
      <c r="I479" s="285"/>
    </row>
    <row r="480" spans="1:9">
      <c r="A480" s="108"/>
      <c r="B480" s="108"/>
      <c r="C480" s="108"/>
      <c r="D480" s="108"/>
      <c r="E480" s="108"/>
      <c r="F480" s="109"/>
      <c r="G480" s="110"/>
      <c r="H480" s="110"/>
      <c r="I480" s="285"/>
    </row>
    <row r="481" spans="1:18">
      <c r="A481" s="97" t="s">
        <v>1039</v>
      </c>
      <c r="B481" s="97" t="s">
        <v>418</v>
      </c>
      <c r="C481" s="97" t="s">
        <v>419</v>
      </c>
      <c r="D481" s="98" t="s">
        <v>420</v>
      </c>
      <c r="E481" s="97" t="s">
        <v>421</v>
      </c>
      <c r="F481" s="99" t="s">
        <v>422</v>
      </c>
      <c r="G481" s="97" t="s">
        <v>423</v>
      </c>
      <c r="H481" s="97" t="s">
        <v>424</v>
      </c>
      <c r="I481" s="285"/>
    </row>
    <row r="482" spans="1:18" ht="71.25">
      <c r="A482" s="100" t="s">
        <v>425</v>
      </c>
      <c r="B482" s="100" t="s">
        <v>1040</v>
      </c>
      <c r="C482" s="100" t="s">
        <v>427</v>
      </c>
      <c r="D482" s="101" t="s">
        <v>206</v>
      </c>
      <c r="E482" s="100" t="s">
        <v>8</v>
      </c>
      <c r="F482" s="102">
        <v>1</v>
      </c>
      <c r="G482" s="119">
        <v>709.25</v>
      </c>
      <c r="H482" s="119">
        <v>709.25</v>
      </c>
      <c r="I482" s="285">
        <f>SUM(I483:I492)</f>
        <v>709.29762999999991</v>
      </c>
      <c r="J482" s="100" t="s">
        <v>425</v>
      </c>
      <c r="K482" s="100" t="s">
        <v>1040</v>
      </c>
      <c r="L482" s="100" t="s">
        <v>427</v>
      </c>
      <c r="M482" s="101" t="s">
        <v>206</v>
      </c>
      <c r="N482" s="100" t="s">
        <v>8</v>
      </c>
      <c r="O482" s="102">
        <v>1</v>
      </c>
      <c r="P482" s="119" t="s">
        <v>1041</v>
      </c>
      <c r="Q482" s="119" t="s">
        <v>1041</v>
      </c>
      <c r="R482" s="285">
        <f>SUM(R483:R492)</f>
        <v>608.049305</v>
      </c>
    </row>
    <row r="483" spans="1:18" ht="42.75">
      <c r="A483" s="283" t="s">
        <v>434</v>
      </c>
      <c r="B483" s="283" t="s">
        <v>1046</v>
      </c>
      <c r="C483" s="283" t="s">
        <v>427</v>
      </c>
      <c r="D483" s="284" t="s">
        <v>1047</v>
      </c>
      <c r="E483" s="283" t="s">
        <v>451</v>
      </c>
      <c r="F483" s="292">
        <v>1.21</v>
      </c>
      <c r="G483" s="293">
        <v>19.329999999999998</v>
      </c>
      <c r="H483" s="121">
        <v>23.38</v>
      </c>
      <c r="I483" s="285">
        <f t="shared" ref="I483:I492" si="59">F483*G483</f>
        <v>23.389299999999999</v>
      </c>
      <c r="J483" s="281" t="s">
        <v>434</v>
      </c>
      <c r="K483" s="281" t="s">
        <v>1042</v>
      </c>
      <c r="L483" s="281" t="s">
        <v>427</v>
      </c>
      <c r="M483" s="282" t="s">
        <v>1043</v>
      </c>
      <c r="N483" s="281" t="s">
        <v>451</v>
      </c>
      <c r="O483" s="294">
        <v>3.6</v>
      </c>
      <c r="P483" s="295" t="s">
        <v>1044</v>
      </c>
      <c r="Q483" s="121" t="s">
        <v>1045</v>
      </c>
      <c r="R483" s="285">
        <f t="shared" ref="R483:R492" si="60">O483*P483</f>
        <v>69.587999999999994</v>
      </c>
    </row>
    <row r="484" spans="1:18" ht="28.5">
      <c r="A484" s="283" t="s">
        <v>434</v>
      </c>
      <c r="B484" s="283" t="s">
        <v>1055</v>
      </c>
      <c r="C484" s="283" t="s">
        <v>427</v>
      </c>
      <c r="D484" s="284" t="s">
        <v>1056</v>
      </c>
      <c r="E484" s="283" t="s">
        <v>468</v>
      </c>
      <c r="F484" s="292">
        <v>1.4157</v>
      </c>
      <c r="G484" s="293">
        <v>57.15</v>
      </c>
      <c r="H484" s="121">
        <v>80.900000000000006</v>
      </c>
      <c r="I484" s="285">
        <f t="shared" si="59"/>
        <v>80.907254999999992</v>
      </c>
      <c r="J484" s="281" t="s">
        <v>434</v>
      </c>
      <c r="K484" s="281" t="s">
        <v>1046</v>
      </c>
      <c r="L484" s="281" t="s">
        <v>427</v>
      </c>
      <c r="M484" s="282" t="s">
        <v>1047</v>
      </c>
      <c r="N484" s="281" t="s">
        <v>451</v>
      </c>
      <c r="O484" s="294">
        <v>1.21</v>
      </c>
      <c r="P484" s="295" t="s">
        <v>1048</v>
      </c>
      <c r="Q484" s="121" t="s">
        <v>1049</v>
      </c>
      <c r="R484" s="285">
        <f t="shared" si="60"/>
        <v>69.151499999999999</v>
      </c>
    </row>
    <row r="485" spans="1:18" ht="42.75">
      <c r="A485" s="283" t="s">
        <v>434</v>
      </c>
      <c r="B485" s="283" t="s">
        <v>1062</v>
      </c>
      <c r="C485" s="283" t="s">
        <v>427</v>
      </c>
      <c r="D485" s="284" t="s">
        <v>1063</v>
      </c>
      <c r="E485" s="283" t="s">
        <v>468</v>
      </c>
      <c r="F485" s="292">
        <v>0.2457</v>
      </c>
      <c r="G485" s="293">
        <v>57.15</v>
      </c>
      <c r="H485" s="121">
        <v>14.04</v>
      </c>
      <c r="I485" s="285">
        <f t="shared" si="59"/>
        <v>14.041755</v>
      </c>
      <c r="J485" s="281" t="s">
        <v>434</v>
      </c>
      <c r="K485" s="281" t="s">
        <v>1050</v>
      </c>
      <c r="L485" s="281" t="s">
        <v>427</v>
      </c>
      <c r="M485" s="282" t="s">
        <v>1051</v>
      </c>
      <c r="N485" s="281" t="s">
        <v>468</v>
      </c>
      <c r="O485" s="294">
        <v>0.1847</v>
      </c>
      <c r="P485" s="295" t="s">
        <v>1048</v>
      </c>
      <c r="Q485" s="121" t="s">
        <v>1052</v>
      </c>
      <c r="R485" s="285">
        <f t="shared" si="60"/>
        <v>10.555605</v>
      </c>
    </row>
    <row r="486" spans="1:18" ht="28.5">
      <c r="A486" s="283" t="s">
        <v>434</v>
      </c>
      <c r="B486" s="283" t="s">
        <v>1058</v>
      </c>
      <c r="C486" s="283" t="s">
        <v>427</v>
      </c>
      <c r="D486" s="284" t="s">
        <v>1059</v>
      </c>
      <c r="E486" s="283" t="s">
        <v>451</v>
      </c>
      <c r="F486" s="292">
        <v>0.32</v>
      </c>
      <c r="G486" s="293">
        <v>51.32</v>
      </c>
      <c r="H486" s="121">
        <v>16.420000000000002</v>
      </c>
      <c r="I486" s="285">
        <f t="shared" si="59"/>
        <v>16.4224</v>
      </c>
      <c r="J486" s="281" t="s">
        <v>434</v>
      </c>
      <c r="K486" s="281" t="s">
        <v>942</v>
      </c>
      <c r="L486" s="281" t="s">
        <v>427</v>
      </c>
      <c r="M486" s="282" t="s">
        <v>943</v>
      </c>
      <c r="N486" s="281" t="s">
        <v>60</v>
      </c>
      <c r="O486" s="294">
        <v>2.0939999999999999</v>
      </c>
      <c r="P486" s="295" t="s">
        <v>1053</v>
      </c>
      <c r="Q486" s="121" t="s">
        <v>1054</v>
      </c>
      <c r="R486" s="285">
        <f t="shared" si="60"/>
        <v>107.46408</v>
      </c>
    </row>
    <row r="487" spans="1:18" ht="28.5">
      <c r="A487" s="283" t="s">
        <v>434</v>
      </c>
      <c r="B487" s="283" t="s">
        <v>942</v>
      </c>
      <c r="C487" s="283" t="s">
        <v>427</v>
      </c>
      <c r="D487" s="284" t="s">
        <v>943</v>
      </c>
      <c r="E487" s="283" t="s">
        <v>60</v>
      </c>
      <c r="F487" s="292">
        <v>2.0939999999999999</v>
      </c>
      <c r="G487" s="293">
        <v>12.52</v>
      </c>
      <c r="H487" s="121">
        <v>26.21</v>
      </c>
      <c r="I487" s="285">
        <f t="shared" si="59"/>
        <v>26.216879999999996</v>
      </c>
      <c r="J487" s="281" t="s">
        <v>434</v>
      </c>
      <c r="K487" s="281" t="s">
        <v>1055</v>
      </c>
      <c r="L487" s="281" t="s">
        <v>427</v>
      </c>
      <c r="M487" s="282" t="s">
        <v>1056</v>
      </c>
      <c r="N487" s="281" t="s">
        <v>468</v>
      </c>
      <c r="O487" s="294">
        <v>1.4157</v>
      </c>
      <c r="P487" s="295" t="s">
        <v>947</v>
      </c>
      <c r="Q487" s="121" t="s">
        <v>1057</v>
      </c>
      <c r="R487" s="285">
        <f t="shared" si="60"/>
        <v>17.724563999999997</v>
      </c>
    </row>
    <row r="488" spans="1:18" ht="42.75">
      <c r="A488" s="283" t="s">
        <v>434</v>
      </c>
      <c r="B488" s="283" t="s">
        <v>1042</v>
      </c>
      <c r="C488" s="283" t="s">
        <v>427</v>
      </c>
      <c r="D488" s="284" t="s">
        <v>1043</v>
      </c>
      <c r="E488" s="283" t="s">
        <v>451</v>
      </c>
      <c r="F488" s="292">
        <v>3.6</v>
      </c>
      <c r="G488" s="293">
        <v>81.180000000000007</v>
      </c>
      <c r="H488" s="121">
        <v>292.24</v>
      </c>
      <c r="I488" s="285">
        <f t="shared" si="59"/>
        <v>292.24800000000005</v>
      </c>
      <c r="J488" s="281" t="s">
        <v>434</v>
      </c>
      <c r="K488" s="281" t="s">
        <v>1058</v>
      </c>
      <c r="L488" s="281" t="s">
        <v>427</v>
      </c>
      <c r="M488" s="282" t="s">
        <v>1059</v>
      </c>
      <c r="N488" s="281" t="s">
        <v>451</v>
      </c>
      <c r="O488" s="294">
        <v>0.32</v>
      </c>
      <c r="P488" s="295" t="s">
        <v>1060</v>
      </c>
      <c r="Q488" s="121" t="s">
        <v>1061</v>
      </c>
      <c r="R488" s="285">
        <f t="shared" si="60"/>
        <v>25.977600000000002</v>
      </c>
    </row>
    <row r="489" spans="1:18" ht="42.75">
      <c r="A489" s="283" t="s">
        <v>434</v>
      </c>
      <c r="B489" s="283" t="s">
        <v>1066</v>
      </c>
      <c r="C489" s="283" t="s">
        <v>427</v>
      </c>
      <c r="D489" s="284" t="s">
        <v>1067</v>
      </c>
      <c r="E489" s="283" t="s">
        <v>451</v>
      </c>
      <c r="F489" s="292">
        <v>3.84</v>
      </c>
      <c r="G489" s="293">
        <v>33.25</v>
      </c>
      <c r="H489" s="121">
        <v>127.68</v>
      </c>
      <c r="I489" s="285">
        <f t="shared" si="59"/>
        <v>127.67999999999999</v>
      </c>
      <c r="J489" s="281" t="s">
        <v>434</v>
      </c>
      <c r="K489" s="281" t="s">
        <v>1062</v>
      </c>
      <c r="L489" s="281" t="s">
        <v>427</v>
      </c>
      <c r="M489" s="282" t="s">
        <v>1063</v>
      </c>
      <c r="N489" s="281" t="s">
        <v>468</v>
      </c>
      <c r="O489" s="294">
        <v>0.2457</v>
      </c>
      <c r="P489" s="295" t="s">
        <v>1064</v>
      </c>
      <c r="Q489" s="121" t="s">
        <v>1065</v>
      </c>
      <c r="R489" s="285">
        <f t="shared" si="60"/>
        <v>8.1695250000000001</v>
      </c>
    </row>
    <row r="490" spans="1:18" ht="42.75">
      <c r="A490" s="283" t="s">
        <v>434</v>
      </c>
      <c r="B490" s="283" t="s">
        <v>1070</v>
      </c>
      <c r="C490" s="283" t="s">
        <v>427</v>
      </c>
      <c r="D490" s="284" t="s">
        <v>1071</v>
      </c>
      <c r="E490" s="283" t="s">
        <v>468</v>
      </c>
      <c r="F490" s="292">
        <v>1.17</v>
      </c>
      <c r="G490" s="293">
        <v>30.3</v>
      </c>
      <c r="H490" s="121">
        <v>35.450000000000003</v>
      </c>
      <c r="I490" s="285">
        <f t="shared" si="59"/>
        <v>35.451000000000001</v>
      </c>
      <c r="J490" s="281" t="s">
        <v>434</v>
      </c>
      <c r="K490" s="281" t="s">
        <v>1066</v>
      </c>
      <c r="L490" s="281" t="s">
        <v>427</v>
      </c>
      <c r="M490" s="282" t="s">
        <v>1067</v>
      </c>
      <c r="N490" s="281" t="s">
        <v>451</v>
      </c>
      <c r="O490" s="294">
        <v>3.84</v>
      </c>
      <c r="P490" s="295" t="s">
        <v>1068</v>
      </c>
      <c r="Q490" s="121" t="s">
        <v>1069</v>
      </c>
      <c r="R490" s="285">
        <f t="shared" si="60"/>
        <v>116.352</v>
      </c>
    </row>
    <row r="491" spans="1:18" ht="28.5">
      <c r="A491" s="283" t="s">
        <v>434</v>
      </c>
      <c r="B491" s="283" t="s">
        <v>1074</v>
      </c>
      <c r="C491" s="283" t="s">
        <v>427</v>
      </c>
      <c r="D491" s="284" t="s">
        <v>1075</v>
      </c>
      <c r="E491" s="283" t="s">
        <v>468</v>
      </c>
      <c r="F491" s="292">
        <v>0.1847</v>
      </c>
      <c r="G491" s="293">
        <v>91.47</v>
      </c>
      <c r="H491" s="121">
        <v>16.89</v>
      </c>
      <c r="I491" s="285">
        <f t="shared" si="59"/>
        <v>16.894508999999999</v>
      </c>
      <c r="J491" s="281" t="s">
        <v>434</v>
      </c>
      <c r="K491" s="281" t="s">
        <v>1070</v>
      </c>
      <c r="L491" s="281" t="s">
        <v>427</v>
      </c>
      <c r="M491" s="282" t="s">
        <v>1071</v>
      </c>
      <c r="N491" s="281" t="s">
        <v>468</v>
      </c>
      <c r="O491" s="294">
        <v>1.17</v>
      </c>
      <c r="P491" s="295" t="s">
        <v>1072</v>
      </c>
      <c r="Q491" s="121" t="s">
        <v>1073</v>
      </c>
      <c r="R491" s="285">
        <f t="shared" si="60"/>
        <v>107.01989999999999</v>
      </c>
    </row>
    <row r="492" spans="1:18" ht="42.75">
      <c r="A492" s="111" t="s">
        <v>434</v>
      </c>
      <c r="B492" s="111" t="s">
        <v>1050</v>
      </c>
      <c r="C492" s="111" t="s">
        <v>427</v>
      </c>
      <c r="D492" s="112" t="s">
        <v>1051</v>
      </c>
      <c r="E492" s="111" t="s">
        <v>468</v>
      </c>
      <c r="F492" s="113">
        <v>0.1847</v>
      </c>
      <c r="G492" s="121">
        <v>411.73</v>
      </c>
      <c r="H492" s="121">
        <v>76.040000000000006</v>
      </c>
      <c r="I492" s="285">
        <f t="shared" si="59"/>
        <v>76.046531000000002</v>
      </c>
      <c r="J492" s="111" t="s">
        <v>434</v>
      </c>
      <c r="K492" s="111" t="s">
        <v>1074</v>
      </c>
      <c r="L492" s="111" t="s">
        <v>427</v>
      </c>
      <c r="M492" s="112" t="s">
        <v>1075</v>
      </c>
      <c r="N492" s="111" t="s">
        <v>468</v>
      </c>
      <c r="O492" s="113">
        <v>0.1847</v>
      </c>
      <c r="P492" s="121" t="s">
        <v>1076</v>
      </c>
      <c r="Q492" s="121" t="s">
        <v>1077</v>
      </c>
      <c r="R492" s="285">
        <f t="shared" si="60"/>
        <v>76.046531000000002</v>
      </c>
    </row>
    <row r="493" spans="1:18">
      <c r="A493" s="104"/>
      <c r="B493" s="104"/>
      <c r="C493" s="104"/>
      <c r="D493" s="104"/>
      <c r="E493" s="104"/>
      <c r="F493" s="105"/>
      <c r="G493" s="106"/>
      <c r="H493" s="107"/>
      <c r="I493" s="285"/>
    </row>
    <row r="494" spans="1:18">
      <c r="A494" s="108"/>
      <c r="B494" s="108"/>
      <c r="C494" s="108"/>
      <c r="D494" s="108"/>
      <c r="E494" s="108"/>
      <c r="F494" s="109"/>
      <c r="G494" s="110"/>
      <c r="H494" s="110"/>
      <c r="I494" s="285"/>
    </row>
    <row r="495" spans="1:18">
      <c r="A495" s="97" t="s">
        <v>1078</v>
      </c>
      <c r="B495" s="97" t="s">
        <v>418</v>
      </c>
      <c r="C495" s="97" t="s">
        <v>419</v>
      </c>
      <c r="D495" s="98" t="s">
        <v>420</v>
      </c>
      <c r="E495" s="97" t="s">
        <v>421</v>
      </c>
      <c r="F495" s="99" t="s">
        <v>422</v>
      </c>
      <c r="G495" s="97" t="s">
        <v>423</v>
      </c>
      <c r="H495" s="97" t="s">
        <v>424</v>
      </c>
      <c r="I495" s="285"/>
    </row>
    <row r="496" spans="1:18" ht="28.5">
      <c r="A496" s="100" t="s">
        <v>425</v>
      </c>
      <c r="B496" s="100" t="s">
        <v>1079</v>
      </c>
      <c r="C496" s="100" t="s">
        <v>427</v>
      </c>
      <c r="D496" s="101" t="s">
        <v>209</v>
      </c>
      <c r="E496" s="100" t="s">
        <v>8</v>
      </c>
      <c r="F496" s="102">
        <v>1</v>
      </c>
      <c r="G496" s="119">
        <v>22.78</v>
      </c>
      <c r="H496" s="119">
        <v>22.78</v>
      </c>
      <c r="I496" s="285">
        <f>SUM(I497:I501)</f>
        <v>22.799690000000002</v>
      </c>
      <c r="J496" s="100" t="s">
        <v>425</v>
      </c>
      <c r="K496" s="100" t="s">
        <v>1079</v>
      </c>
      <c r="L496" s="100" t="s">
        <v>427</v>
      </c>
      <c r="M496" s="101" t="s">
        <v>209</v>
      </c>
      <c r="N496" s="100" t="s">
        <v>8</v>
      </c>
      <c r="O496" s="102">
        <v>1</v>
      </c>
      <c r="P496" s="119" t="s">
        <v>1080</v>
      </c>
      <c r="Q496" s="119" t="s">
        <v>1080</v>
      </c>
      <c r="R496" s="285">
        <f>SUM(R497:R506)</f>
        <v>46.408649999999994</v>
      </c>
    </row>
    <row r="497" spans="1:18" ht="28.5">
      <c r="A497" s="111" t="s">
        <v>434</v>
      </c>
      <c r="B497" s="111" t="s">
        <v>981</v>
      </c>
      <c r="C497" s="111" t="s">
        <v>427</v>
      </c>
      <c r="D497" s="112" t="s">
        <v>982</v>
      </c>
      <c r="E497" s="111" t="s">
        <v>1576</v>
      </c>
      <c r="F497" s="113">
        <v>0.4</v>
      </c>
      <c r="G497" s="121">
        <v>22.49</v>
      </c>
      <c r="H497" s="121">
        <v>8.99</v>
      </c>
      <c r="I497" s="285">
        <f t="shared" ref="I497:I501" si="61">F497*G497</f>
        <v>8.9960000000000004</v>
      </c>
      <c r="J497" s="111" t="s">
        <v>434</v>
      </c>
      <c r="K497" s="111" t="s">
        <v>977</v>
      </c>
      <c r="L497" s="111" t="s">
        <v>427</v>
      </c>
      <c r="M497" s="112" t="s">
        <v>978</v>
      </c>
      <c r="N497" s="111" t="s">
        <v>464</v>
      </c>
      <c r="O497" s="113">
        <v>0.4</v>
      </c>
      <c r="P497" s="121" t="s">
        <v>979</v>
      </c>
      <c r="Q497" s="121" t="s">
        <v>1081</v>
      </c>
      <c r="R497" s="285">
        <f t="shared" ref="R497:R501" si="62">O497*P497</f>
        <v>8.9960000000000004</v>
      </c>
    </row>
    <row r="498" spans="1:18" ht="28.5">
      <c r="A498" s="111" t="s">
        <v>434</v>
      </c>
      <c r="B498" s="111" t="s">
        <v>977</v>
      </c>
      <c r="C498" s="111" t="s">
        <v>427</v>
      </c>
      <c r="D498" s="112" t="s">
        <v>978</v>
      </c>
      <c r="E498" s="111" t="s">
        <v>1576</v>
      </c>
      <c r="F498" s="113">
        <v>0.4</v>
      </c>
      <c r="G498" s="121">
        <v>17.18</v>
      </c>
      <c r="H498" s="121">
        <v>6.87</v>
      </c>
      <c r="I498" s="285">
        <f t="shared" si="61"/>
        <v>6.8719999999999999</v>
      </c>
      <c r="J498" s="111" t="s">
        <v>434</v>
      </c>
      <c r="K498" s="111" t="s">
        <v>981</v>
      </c>
      <c r="L498" s="111" t="s">
        <v>427</v>
      </c>
      <c r="M498" s="112" t="s">
        <v>982</v>
      </c>
      <c r="N498" s="111" t="s">
        <v>464</v>
      </c>
      <c r="O498" s="113">
        <v>0.4</v>
      </c>
      <c r="P498" s="121" t="s">
        <v>983</v>
      </c>
      <c r="Q498" s="121" t="s">
        <v>1082</v>
      </c>
      <c r="R498" s="285">
        <f t="shared" si="62"/>
        <v>6.8719999999999999</v>
      </c>
    </row>
    <row r="499" spans="1:18" ht="42.75">
      <c r="A499" s="274" t="s">
        <v>437</v>
      </c>
      <c r="B499" s="274" t="s">
        <v>1083</v>
      </c>
      <c r="C499" s="274" t="s">
        <v>427</v>
      </c>
      <c r="D499" s="275" t="s">
        <v>1084</v>
      </c>
      <c r="E499" s="274" t="s">
        <v>476</v>
      </c>
      <c r="F499" s="276">
        <v>0.01</v>
      </c>
      <c r="G499" s="277">
        <v>59.19</v>
      </c>
      <c r="H499" s="120">
        <v>0.59</v>
      </c>
      <c r="I499" s="285">
        <f t="shared" si="61"/>
        <v>0.59189999999999998</v>
      </c>
      <c r="J499" s="271" t="s">
        <v>437</v>
      </c>
      <c r="K499" s="271" t="s">
        <v>1083</v>
      </c>
      <c r="L499" s="271" t="s">
        <v>427</v>
      </c>
      <c r="M499" s="272" t="s">
        <v>1084</v>
      </c>
      <c r="N499" s="271" t="s">
        <v>476</v>
      </c>
      <c r="O499" s="273">
        <v>0.01</v>
      </c>
      <c r="P499" s="270" t="s">
        <v>1085</v>
      </c>
      <c r="Q499" s="120" t="s">
        <v>1086</v>
      </c>
      <c r="R499" s="285">
        <f t="shared" si="62"/>
        <v>0.59189999999999998</v>
      </c>
    </row>
    <row r="500" spans="1:18" ht="28.5">
      <c r="A500" s="274" t="s">
        <v>437</v>
      </c>
      <c r="B500" s="274" t="s">
        <v>1091</v>
      </c>
      <c r="C500" s="274" t="s">
        <v>427</v>
      </c>
      <c r="D500" s="275" t="s">
        <v>1092</v>
      </c>
      <c r="E500" s="274" t="s">
        <v>671</v>
      </c>
      <c r="F500" s="276">
        <v>3.0000000000000001E-3</v>
      </c>
      <c r="G500" s="277">
        <v>29.93</v>
      </c>
      <c r="H500" s="120">
        <v>0.08</v>
      </c>
      <c r="I500" s="285">
        <f t="shared" si="61"/>
        <v>8.9789999999999995E-2</v>
      </c>
      <c r="J500" s="271" t="s">
        <v>437</v>
      </c>
      <c r="K500" s="271" t="s">
        <v>1087</v>
      </c>
      <c r="L500" s="271" t="s">
        <v>427</v>
      </c>
      <c r="M500" s="272" t="s">
        <v>1088</v>
      </c>
      <c r="N500" s="271" t="s">
        <v>542</v>
      </c>
      <c r="O500" s="273">
        <v>1</v>
      </c>
      <c r="P500" s="270" t="s">
        <v>1089</v>
      </c>
      <c r="Q500" s="120" t="s">
        <v>1090</v>
      </c>
      <c r="R500" s="285">
        <f t="shared" si="62"/>
        <v>29.93</v>
      </c>
    </row>
    <row r="501" spans="1:18" ht="28.5">
      <c r="A501" s="274" t="s">
        <v>437</v>
      </c>
      <c r="B501" s="274" t="s">
        <v>1087</v>
      </c>
      <c r="C501" s="274" t="s">
        <v>427</v>
      </c>
      <c r="D501" s="275" t="s">
        <v>1088</v>
      </c>
      <c r="E501" s="274" t="s">
        <v>542</v>
      </c>
      <c r="F501" s="276">
        <v>1</v>
      </c>
      <c r="G501" s="277">
        <v>6.25</v>
      </c>
      <c r="H501" s="120">
        <v>6.25</v>
      </c>
      <c r="I501" s="285">
        <f t="shared" si="61"/>
        <v>6.25</v>
      </c>
      <c r="J501" s="271" t="s">
        <v>437</v>
      </c>
      <c r="K501" s="271" t="s">
        <v>1091</v>
      </c>
      <c r="L501" s="271" t="s">
        <v>427</v>
      </c>
      <c r="M501" s="272" t="s">
        <v>1092</v>
      </c>
      <c r="N501" s="271" t="s">
        <v>671</v>
      </c>
      <c r="O501" s="273">
        <v>3.0000000000000001E-3</v>
      </c>
      <c r="P501" s="270" t="s">
        <v>1093</v>
      </c>
      <c r="Q501" s="120" t="s">
        <v>1093</v>
      </c>
      <c r="R501" s="285">
        <f t="shared" si="62"/>
        <v>1.8749999999999999E-2</v>
      </c>
    </row>
    <row r="502" spans="1:18">
      <c r="A502" s="104"/>
      <c r="B502" s="104"/>
      <c r="C502" s="104"/>
      <c r="D502" s="104"/>
      <c r="E502" s="104"/>
      <c r="F502" s="105"/>
      <c r="G502" s="106"/>
      <c r="H502" s="107"/>
      <c r="I502" s="285"/>
    </row>
    <row r="503" spans="1:18">
      <c r="A503" s="108"/>
      <c r="B503" s="108"/>
      <c r="C503" s="108"/>
      <c r="D503" s="108"/>
      <c r="E503" s="108"/>
      <c r="F503" s="109"/>
      <c r="G503" s="110"/>
      <c r="H503" s="110"/>
      <c r="I503" s="285"/>
    </row>
    <row r="504" spans="1:18">
      <c r="A504" s="97" t="s">
        <v>1094</v>
      </c>
      <c r="B504" s="97" t="s">
        <v>418</v>
      </c>
      <c r="C504" s="97" t="s">
        <v>419</v>
      </c>
      <c r="D504" s="98" t="s">
        <v>420</v>
      </c>
      <c r="E504" s="97" t="s">
        <v>421</v>
      </c>
      <c r="F504" s="99" t="s">
        <v>422</v>
      </c>
      <c r="G504" s="97" t="s">
        <v>423</v>
      </c>
      <c r="H504" s="97" t="s">
        <v>424</v>
      </c>
      <c r="I504" s="285"/>
    </row>
    <row r="505" spans="1:18">
      <c r="A505" s="100" t="s">
        <v>425</v>
      </c>
      <c r="B505" s="100" t="s">
        <v>1095</v>
      </c>
      <c r="C505" s="100" t="s">
        <v>427</v>
      </c>
      <c r="D505" s="101" t="s">
        <v>1096</v>
      </c>
      <c r="E505" s="100" t="s">
        <v>542</v>
      </c>
      <c r="F505" s="102">
        <v>1</v>
      </c>
      <c r="G505" s="119" t="s">
        <v>1097</v>
      </c>
      <c r="H505" s="119" t="s">
        <v>1097</v>
      </c>
      <c r="I505" s="285">
        <f>SUM(I506:I508)</f>
        <v>7.1001999999999992</v>
      </c>
    </row>
    <row r="506" spans="1:18" ht="28.5">
      <c r="A506" s="111" t="s">
        <v>434</v>
      </c>
      <c r="B506" s="111" t="s">
        <v>977</v>
      </c>
      <c r="C506" s="111" t="s">
        <v>427</v>
      </c>
      <c r="D506" s="112" t="s">
        <v>978</v>
      </c>
      <c r="E506" s="111" t="s">
        <v>464</v>
      </c>
      <c r="F506" s="113">
        <v>0.06</v>
      </c>
      <c r="G506" s="121" t="s">
        <v>979</v>
      </c>
      <c r="H506" s="121" t="s">
        <v>1098</v>
      </c>
      <c r="I506" s="285">
        <f t="shared" ref="I506:I508" si="63">F506*G506</f>
        <v>1.3493999999999999</v>
      </c>
    </row>
    <row r="507" spans="1:18" ht="28.5">
      <c r="A507" s="111" t="s">
        <v>434</v>
      </c>
      <c r="B507" s="111" t="s">
        <v>981</v>
      </c>
      <c r="C507" s="111" t="s">
        <v>427</v>
      </c>
      <c r="D507" s="112" t="s">
        <v>982</v>
      </c>
      <c r="E507" s="111" t="s">
        <v>464</v>
      </c>
      <c r="F507" s="113">
        <v>0.06</v>
      </c>
      <c r="G507" s="121" t="s">
        <v>983</v>
      </c>
      <c r="H507" s="121" t="s">
        <v>1099</v>
      </c>
      <c r="I507" s="285">
        <f t="shared" si="63"/>
        <v>1.0307999999999999</v>
      </c>
    </row>
    <row r="508" spans="1:18" ht="28.5">
      <c r="A508" s="115" t="s">
        <v>437</v>
      </c>
      <c r="B508" s="115" t="s">
        <v>1100</v>
      </c>
      <c r="C508" s="115" t="s">
        <v>427</v>
      </c>
      <c r="D508" s="116" t="s">
        <v>1101</v>
      </c>
      <c r="E508" s="115" t="s">
        <v>542</v>
      </c>
      <c r="F508" s="117">
        <v>1</v>
      </c>
      <c r="G508" s="120" t="s">
        <v>1102</v>
      </c>
      <c r="H508" s="120" t="s">
        <v>1102</v>
      </c>
      <c r="I508" s="285">
        <f t="shared" si="63"/>
        <v>4.72</v>
      </c>
    </row>
    <row r="509" spans="1:18">
      <c r="A509" s="104"/>
      <c r="B509" s="104"/>
      <c r="C509" s="104"/>
      <c r="D509" s="104"/>
      <c r="E509" s="104"/>
      <c r="F509" s="105"/>
      <c r="G509" s="106"/>
      <c r="H509" s="107"/>
      <c r="I509" s="285"/>
    </row>
    <row r="510" spans="1:18">
      <c r="A510" s="108"/>
      <c r="B510" s="108"/>
      <c r="C510" s="108"/>
      <c r="D510" s="108"/>
      <c r="E510" s="108"/>
      <c r="F510" s="109"/>
      <c r="G510" s="110"/>
      <c r="H510" s="110"/>
      <c r="I510" s="285"/>
    </row>
    <row r="511" spans="1:18">
      <c r="A511" s="97" t="s">
        <v>1103</v>
      </c>
      <c r="B511" s="97" t="s">
        <v>418</v>
      </c>
      <c r="C511" s="97" t="s">
        <v>419</v>
      </c>
      <c r="D511" s="98" t="s">
        <v>420</v>
      </c>
      <c r="E511" s="97" t="s">
        <v>421</v>
      </c>
      <c r="F511" s="99" t="s">
        <v>422</v>
      </c>
      <c r="G511" s="97" t="s">
        <v>423</v>
      </c>
      <c r="H511" s="97" t="s">
        <v>424</v>
      </c>
      <c r="I511" s="285"/>
    </row>
    <row r="512" spans="1:18" ht="28.5">
      <c r="A512" s="100" t="s">
        <v>425</v>
      </c>
      <c r="B512" s="100" t="s">
        <v>1104</v>
      </c>
      <c r="C512" s="100" t="s">
        <v>431</v>
      </c>
      <c r="D512" s="101" t="s">
        <v>214</v>
      </c>
      <c r="E512" s="100" t="s">
        <v>8</v>
      </c>
      <c r="F512" s="102">
        <v>1</v>
      </c>
      <c r="G512" s="103">
        <v>38.03</v>
      </c>
      <c r="H512" s="103">
        <v>38.03</v>
      </c>
      <c r="I512" s="285">
        <f>SUM(I513:I520)</f>
        <v>38.056059999999995</v>
      </c>
    </row>
    <row r="513" spans="1:9" ht="28.5">
      <c r="A513" s="111" t="s">
        <v>434</v>
      </c>
      <c r="B513" s="111" t="s">
        <v>1025</v>
      </c>
      <c r="C513" s="111" t="s">
        <v>431</v>
      </c>
      <c r="D513" s="112" t="s">
        <v>1026</v>
      </c>
      <c r="E513" s="111" t="s">
        <v>520</v>
      </c>
      <c r="F513" s="113">
        <v>0.25</v>
      </c>
      <c r="G513" s="114">
        <v>18.010000000000002</v>
      </c>
      <c r="H513" s="114">
        <v>4.5</v>
      </c>
      <c r="I513" s="285">
        <f t="shared" ref="I513:I520" si="64">F513*G513</f>
        <v>4.5025000000000004</v>
      </c>
    </row>
    <row r="514" spans="1:9" ht="28.5">
      <c r="A514" s="111" t="s">
        <v>434</v>
      </c>
      <c r="B514" s="111" t="s">
        <v>1013</v>
      </c>
      <c r="C514" s="111" t="s">
        <v>431</v>
      </c>
      <c r="D514" s="112" t="s">
        <v>1014</v>
      </c>
      <c r="E514" s="111" t="s">
        <v>520</v>
      </c>
      <c r="F514" s="113">
        <v>0.25</v>
      </c>
      <c r="G514" s="114">
        <v>22.49</v>
      </c>
      <c r="H514" s="114">
        <v>5.62</v>
      </c>
      <c r="I514" s="285">
        <f t="shared" si="64"/>
        <v>5.6224999999999996</v>
      </c>
    </row>
    <row r="515" spans="1:9">
      <c r="A515" s="115" t="s">
        <v>437</v>
      </c>
      <c r="B515" s="115" t="s">
        <v>1027</v>
      </c>
      <c r="C515" s="115" t="s">
        <v>431</v>
      </c>
      <c r="D515" s="116" t="s">
        <v>1028</v>
      </c>
      <c r="E515" s="115" t="s">
        <v>8</v>
      </c>
      <c r="F515" s="117">
        <v>1.4800000000000001E-2</v>
      </c>
      <c r="G515" s="118">
        <v>55.4</v>
      </c>
      <c r="H515" s="118">
        <v>0.81</v>
      </c>
      <c r="I515" s="285">
        <f t="shared" si="64"/>
        <v>0.81991999999999998</v>
      </c>
    </row>
    <row r="516" spans="1:9" ht="28.5">
      <c r="A516" s="115" t="s">
        <v>437</v>
      </c>
      <c r="B516" s="115" t="s">
        <v>1105</v>
      </c>
      <c r="C516" s="115" t="s">
        <v>431</v>
      </c>
      <c r="D516" s="116" t="s">
        <v>1106</v>
      </c>
      <c r="E516" s="115" t="s">
        <v>8</v>
      </c>
      <c r="F516" s="117">
        <v>1</v>
      </c>
      <c r="G516" s="118">
        <v>1.66</v>
      </c>
      <c r="H516" s="118">
        <v>1.66</v>
      </c>
      <c r="I516" s="285">
        <f t="shared" si="64"/>
        <v>1.66</v>
      </c>
    </row>
    <row r="517" spans="1:9" ht="28.5">
      <c r="A517" s="115" t="s">
        <v>437</v>
      </c>
      <c r="B517" s="115" t="s">
        <v>1107</v>
      </c>
      <c r="C517" s="115" t="s">
        <v>431</v>
      </c>
      <c r="D517" s="116" t="s">
        <v>1108</v>
      </c>
      <c r="E517" s="115" t="s">
        <v>8</v>
      </c>
      <c r="F517" s="117">
        <v>1</v>
      </c>
      <c r="G517" s="118">
        <v>23.45</v>
      </c>
      <c r="H517" s="118">
        <v>23.45</v>
      </c>
      <c r="I517" s="285">
        <f t="shared" si="64"/>
        <v>23.45</v>
      </c>
    </row>
    <row r="518" spans="1:9">
      <c r="A518" s="115" t="s">
        <v>437</v>
      </c>
      <c r="B518" s="115" t="s">
        <v>1029</v>
      </c>
      <c r="C518" s="115" t="s">
        <v>431</v>
      </c>
      <c r="D518" s="116" t="s">
        <v>1030</v>
      </c>
      <c r="E518" s="115" t="s">
        <v>8</v>
      </c>
      <c r="F518" s="117">
        <v>6.4000000000000001E-2</v>
      </c>
      <c r="G518" s="118">
        <v>2.06</v>
      </c>
      <c r="H518" s="118">
        <v>0.13</v>
      </c>
      <c r="I518" s="285">
        <f t="shared" si="64"/>
        <v>0.13184000000000001</v>
      </c>
    </row>
    <row r="519" spans="1:9" ht="42.75">
      <c r="A519" s="115" t="s">
        <v>437</v>
      </c>
      <c r="B519" s="115" t="s">
        <v>1109</v>
      </c>
      <c r="C519" s="115" t="s">
        <v>431</v>
      </c>
      <c r="D519" s="116" t="s">
        <v>1110</v>
      </c>
      <c r="E519" s="115" t="s">
        <v>8</v>
      </c>
      <c r="F519" s="117">
        <v>0.02</v>
      </c>
      <c r="G519" s="118">
        <v>22.86</v>
      </c>
      <c r="H519" s="118">
        <v>0.45</v>
      </c>
      <c r="I519" s="285">
        <f t="shared" si="64"/>
        <v>0.4572</v>
      </c>
    </row>
    <row r="520" spans="1:9" ht="28.5">
      <c r="A520" s="115" t="s">
        <v>437</v>
      </c>
      <c r="B520" s="115" t="s">
        <v>1031</v>
      </c>
      <c r="C520" s="115" t="s">
        <v>431</v>
      </c>
      <c r="D520" s="116" t="s">
        <v>1032</v>
      </c>
      <c r="E520" s="115" t="s">
        <v>8</v>
      </c>
      <c r="F520" s="117">
        <v>2.2499999999999999E-2</v>
      </c>
      <c r="G520" s="118">
        <v>62.76</v>
      </c>
      <c r="H520" s="118">
        <v>1.41</v>
      </c>
      <c r="I520" s="285">
        <f t="shared" si="64"/>
        <v>1.4120999999999999</v>
      </c>
    </row>
    <row r="521" spans="1:9">
      <c r="A521" s="104"/>
      <c r="B521" s="104"/>
      <c r="C521" s="104"/>
      <c r="D521" s="104"/>
      <c r="E521" s="104"/>
      <c r="F521" s="105"/>
      <c r="G521" s="106"/>
      <c r="H521" s="107"/>
      <c r="I521" s="285"/>
    </row>
    <row r="522" spans="1:9">
      <c r="A522" s="108"/>
      <c r="B522" s="108"/>
      <c r="C522" s="108"/>
      <c r="D522" s="108"/>
      <c r="E522" s="108"/>
      <c r="F522" s="109"/>
      <c r="G522" s="110"/>
      <c r="H522" s="110"/>
      <c r="I522" s="285"/>
    </row>
    <row r="523" spans="1:9">
      <c r="A523" s="97" t="s">
        <v>1111</v>
      </c>
      <c r="B523" s="97" t="s">
        <v>418</v>
      </c>
      <c r="C523" s="97" t="s">
        <v>419</v>
      </c>
      <c r="D523" s="98" t="s">
        <v>420</v>
      </c>
      <c r="E523" s="97" t="s">
        <v>421</v>
      </c>
      <c r="F523" s="99" t="s">
        <v>422</v>
      </c>
      <c r="G523" s="97" t="s">
        <v>423</v>
      </c>
      <c r="H523" s="97" t="s">
        <v>424</v>
      </c>
      <c r="I523" s="285"/>
    </row>
    <row r="524" spans="1:9" ht="42.75">
      <c r="A524" s="100" t="s">
        <v>425</v>
      </c>
      <c r="B524" s="100" t="s">
        <v>1112</v>
      </c>
      <c r="C524" s="100" t="s">
        <v>431</v>
      </c>
      <c r="D524" s="101" t="s">
        <v>216</v>
      </c>
      <c r="E524" s="100" t="s">
        <v>8</v>
      </c>
      <c r="F524" s="102">
        <v>1</v>
      </c>
      <c r="G524" s="103">
        <v>168.37</v>
      </c>
      <c r="H524" s="103">
        <v>168.37</v>
      </c>
      <c r="I524" s="285">
        <f>SUM(I525:I528)</f>
        <v>168.38782600000002</v>
      </c>
    </row>
    <row r="525" spans="1:9" ht="28.5">
      <c r="A525" s="111" t="s">
        <v>434</v>
      </c>
      <c r="B525" s="111" t="s">
        <v>1113</v>
      </c>
      <c r="C525" s="111" t="s">
        <v>431</v>
      </c>
      <c r="D525" s="112" t="s">
        <v>1114</v>
      </c>
      <c r="E525" s="111" t="s">
        <v>468</v>
      </c>
      <c r="F525" s="113">
        <v>5.4000000000000003E-3</v>
      </c>
      <c r="G525" s="114">
        <v>549.74</v>
      </c>
      <c r="H525" s="114">
        <v>2.96</v>
      </c>
      <c r="I525" s="285">
        <f t="shared" ref="I525:I528" si="65">F525*G525</f>
        <v>2.9685960000000002</v>
      </c>
    </row>
    <row r="526" spans="1:9" ht="28.5">
      <c r="A526" s="111" t="s">
        <v>434</v>
      </c>
      <c r="B526" s="111" t="s">
        <v>521</v>
      </c>
      <c r="C526" s="111" t="s">
        <v>431</v>
      </c>
      <c r="D526" s="112" t="s">
        <v>522</v>
      </c>
      <c r="E526" s="111" t="s">
        <v>520</v>
      </c>
      <c r="F526" s="113">
        <v>0.45300000000000001</v>
      </c>
      <c r="G526" s="114">
        <v>23.1</v>
      </c>
      <c r="H526" s="114">
        <v>10.46</v>
      </c>
      <c r="I526" s="285">
        <f t="shared" si="65"/>
        <v>10.464300000000001</v>
      </c>
    </row>
    <row r="527" spans="1:9" ht="28.5">
      <c r="A527" s="111" t="s">
        <v>434</v>
      </c>
      <c r="B527" s="111" t="s">
        <v>519</v>
      </c>
      <c r="C527" s="111" t="s">
        <v>431</v>
      </c>
      <c r="D527" s="112" t="s">
        <v>492</v>
      </c>
      <c r="E527" s="111" t="s">
        <v>520</v>
      </c>
      <c r="F527" s="113">
        <v>0.45300000000000001</v>
      </c>
      <c r="G527" s="114">
        <v>16.809999999999999</v>
      </c>
      <c r="H527" s="114">
        <v>7.61</v>
      </c>
      <c r="I527" s="285">
        <f t="shared" si="65"/>
        <v>7.6149299999999993</v>
      </c>
    </row>
    <row r="528" spans="1:9" ht="28.5">
      <c r="A528" s="115" t="s">
        <v>437</v>
      </c>
      <c r="B528" s="115" t="s">
        <v>1115</v>
      </c>
      <c r="C528" s="115" t="s">
        <v>431</v>
      </c>
      <c r="D528" s="116" t="s">
        <v>1116</v>
      </c>
      <c r="E528" s="115" t="s">
        <v>8</v>
      </c>
      <c r="F528" s="117">
        <v>1</v>
      </c>
      <c r="G528" s="118">
        <v>147.34</v>
      </c>
      <c r="H528" s="118">
        <v>147.34</v>
      </c>
      <c r="I528" s="285">
        <f t="shared" si="65"/>
        <v>147.34</v>
      </c>
    </row>
    <row r="529" spans="1:18">
      <c r="A529" s="104"/>
      <c r="B529" s="104"/>
      <c r="C529" s="104"/>
      <c r="D529" s="104"/>
      <c r="E529" s="104"/>
      <c r="F529" s="105"/>
      <c r="G529" s="106"/>
      <c r="H529" s="107"/>
      <c r="I529" s="285"/>
    </row>
    <row r="530" spans="1:18">
      <c r="A530" s="108"/>
      <c r="B530" s="108"/>
      <c r="C530" s="108"/>
      <c r="D530" s="108"/>
      <c r="E530" s="108"/>
      <c r="F530" s="109"/>
      <c r="G530" s="110"/>
      <c r="H530" s="110"/>
      <c r="I530" s="285"/>
    </row>
    <row r="531" spans="1:18">
      <c r="A531" s="97" t="s">
        <v>1117</v>
      </c>
      <c r="B531" s="97" t="s">
        <v>418</v>
      </c>
      <c r="C531" s="97" t="s">
        <v>419</v>
      </c>
      <c r="D531" s="98" t="s">
        <v>420</v>
      </c>
      <c r="E531" s="97" t="s">
        <v>421</v>
      </c>
      <c r="F531" s="99" t="s">
        <v>422</v>
      </c>
      <c r="G531" s="97" t="s">
        <v>423</v>
      </c>
      <c r="H531" s="97" t="s">
        <v>424</v>
      </c>
      <c r="I531" s="285"/>
    </row>
    <row r="532" spans="1:18" ht="71.25">
      <c r="A532" s="100" t="s">
        <v>425</v>
      </c>
      <c r="B532" s="100" t="s">
        <v>1118</v>
      </c>
      <c r="C532" s="100" t="s">
        <v>427</v>
      </c>
      <c r="D532" s="101" t="s">
        <v>219</v>
      </c>
      <c r="E532" s="100" t="s">
        <v>8</v>
      </c>
      <c r="F532" s="102">
        <v>1</v>
      </c>
      <c r="G532" s="119">
        <v>519.29999999999995</v>
      </c>
      <c r="H532" s="119">
        <v>519.29999999999995</v>
      </c>
      <c r="I532" s="285">
        <f>SUM(I533:I542)</f>
        <v>519.33505500000001</v>
      </c>
      <c r="J532" s="100" t="s">
        <v>425</v>
      </c>
      <c r="K532" s="100" t="s">
        <v>1118</v>
      </c>
      <c r="L532" s="100" t="s">
        <v>427</v>
      </c>
      <c r="M532" s="101" t="s">
        <v>219</v>
      </c>
      <c r="N532" s="100" t="s">
        <v>8</v>
      </c>
      <c r="O532" s="102">
        <v>1</v>
      </c>
      <c r="P532" s="119" t="s">
        <v>1119</v>
      </c>
      <c r="Q532" s="119" t="s">
        <v>1119</v>
      </c>
      <c r="R532" s="285">
        <f>SUM(R533:R542)</f>
        <v>460.26943399999993</v>
      </c>
    </row>
    <row r="533" spans="1:18" ht="42.75">
      <c r="A533" s="296" t="s">
        <v>434</v>
      </c>
      <c r="B533" s="296" t="s">
        <v>1046</v>
      </c>
      <c r="C533" s="296" t="s">
        <v>427</v>
      </c>
      <c r="D533" s="297" t="s">
        <v>1047</v>
      </c>
      <c r="E533" s="296" t="s">
        <v>451</v>
      </c>
      <c r="F533" s="298">
        <v>1</v>
      </c>
      <c r="G533" s="299">
        <v>19.329999999999998</v>
      </c>
      <c r="H533" s="121">
        <v>19.329999999999998</v>
      </c>
      <c r="I533" s="285">
        <f t="shared" ref="I533:I542" si="66">F533*G533</f>
        <v>19.329999999999998</v>
      </c>
      <c r="J533" s="281" t="s">
        <v>434</v>
      </c>
      <c r="K533" s="281" t="s">
        <v>1042</v>
      </c>
      <c r="L533" s="281" t="s">
        <v>427</v>
      </c>
      <c r="M533" s="282" t="s">
        <v>1043</v>
      </c>
      <c r="N533" s="281" t="s">
        <v>451</v>
      </c>
      <c r="O533" s="294">
        <v>2.56</v>
      </c>
      <c r="P533" s="295" t="s">
        <v>1044</v>
      </c>
      <c r="Q533" s="121" t="s">
        <v>1044</v>
      </c>
      <c r="R533" s="285">
        <f t="shared" ref="R533:R542" si="67">O533*P533</f>
        <v>49.4848</v>
      </c>
    </row>
    <row r="534" spans="1:18" ht="28.5">
      <c r="A534" s="296" t="s">
        <v>434</v>
      </c>
      <c r="B534" s="296" t="s">
        <v>1055</v>
      </c>
      <c r="C534" s="296" t="s">
        <v>427</v>
      </c>
      <c r="D534" s="297" t="s">
        <v>1056</v>
      </c>
      <c r="E534" s="296" t="s">
        <v>468</v>
      </c>
      <c r="F534" s="298">
        <v>0.97</v>
      </c>
      <c r="G534" s="299">
        <v>57.15</v>
      </c>
      <c r="H534" s="121">
        <v>55.43</v>
      </c>
      <c r="I534" s="285">
        <f t="shared" si="66"/>
        <v>55.435499999999998</v>
      </c>
      <c r="J534" s="281" t="s">
        <v>434</v>
      </c>
      <c r="K534" s="281" t="s">
        <v>1046</v>
      </c>
      <c r="L534" s="281" t="s">
        <v>427</v>
      </c>
      <c r="M534" s="282" t="s">
        <v>1047</v>
      </c>
      <c r="N534" s="281" t="s">
        <v>451</v>
      </c>
      <c r="O534" s="294">
        <v>1</v>
      </c>
      <c r="P534" s="295" t="s">
        <v>1048</v>
      </c>
      <c r="Q534" s="121" t="s">
        <v>1120</v>
      </c>
      <c r="R534" s="285">
        <f t="shared" si="67"/>
        <v>57.15</v>
      </c>
    </row>
    <row r="535" spans="1:18" ht="42.75">
      <c r="A535" s="296" t="s">
        <v>434</v>
      </c>
      <c r="B535" s="296" t="s">
        <v>1062</v>
      </c>
      <c r="C535" s="296" t="s">
        <v>427</v>
      </c>
      <c r="D535" s="297" t="s">
        <v>1063</v>
      </c>
      <c r="E535" s="296" t="s">
        <v>468</v>
      </c>
      <c r="F535" s="298">
        <v>0.18429999999999999</v>
      </c>
      <c r="G535" s="299">
        <v>57.15</v>
      </c>
      <c r="H535" s="121">
        <v>10.53</v>
      </c>
      <c r="I535" s="285">
        <f t="shared" si="66"/>
        <v>10.532744999999998</v>
      </c>
      <c r="J535" s="281" t="s">
        <v>434</v>
      </c>
      <c r="K535" s="281" t="s">
        <v>1050</v>
      </c>
      <c r="L535" s="281" t="s">
        <v>427</v>
      </c>
      <c r="M535" s="282" t="s">
        <v>1051</v>
      </c>
      <c r="N535" s="281" t="s">
        <v>468</v>
      </c>
      <c r="O535" s="294">
        <v>0.151</v>
      </c>
      <c r="P535" s="295" t="s">
        <v>1048</v>
      </c>
      <c r="Q535" s="121" t="s">
        <v>1121</v>
      </c>
      <c r="R535" s="285">
        <f t="shared" si="67"/>
        <v>8.6296499999999998</v>
      </c>
    </row>
    <row r="536" spans="1:18" ht="28.5">
      <c r="A536" s="296" t="s">
        <v>434</v>
      </c>
      <c r="B536" s="296" t="s">
        <v>1058</v>
      </c>
      <c r="C536" s="296" t="s">
        <v>427</v>
      </c>
      <c r="D536" s="297" t="s">
        <v>1059</v>
      </c>
      <c r="E536" s="296" t="s">
        <v>451</v>
      </c>
      <c r="F536" s="298">
        <v>0.28000000000000003</v>
      </c>
      <c r="G536" s="299">
        <v>51.32</v>
      </c>
      <c r="H536" s="121">
        <v>14.36</v>
      </c>
      <c r="I536" s="285">
        <f t="shared" si="66"/>
        <v>14.369600000000002</v>
      </c>
      <c r="J536" s="281" t="s">
        <v>434</v>
      </c>
      <c r="K536" s="281" t="s">
        <v>942</v>
      </c>
      <c r="L536" s="281" t="s">
        <v>427</v>
      </c>
      <c r="M536" s="282" t="s">
        <v>943</v>
      </c>
      <c r="N536" s="281" t="s">
        <v>60</v>
      </c>
      <c r="O536" s="294">
        <v>1.7</v>
      </c>
      <c r="P536" s="295" t="s">
        <v>1053</v>
      </c>
      <c r="Q536" s="121" t="s">
        <v>1122</v>
      </c>
      <c r="R536" s="285">
        <f t="shared" si="67"/>
        <v>87.244</v>
      </c>
    </row>
    <row r="537" spans="1:18" ht="28.5">
      <c r="A537" s="296" t="s">
        <v>434</v>
      </c>
      <c r="B537" s="296" t="s">
        <v>942</v>
      </c>
      <c r="C537" s="296" t="s">
        <v>427</v>
      </c>
      <c r="D537" s="297" t="s">
        <v>943</v>
      </c>
      <c r="E537" s="296" t="s">
        <v>60</v>
      </c>
      <c r="F537" s="298">
        <v>1.7</v>
      </c>
      <c r="G537" s="299">
        <v>12.52</v>
      </c>
      <c r="H537" s="121">
        <v>21.28</v>
      </c>
      <c r="I537" s="285">
        <f t="shared" si="66"/>
        <v>21.283999999999999</v>
      </c>
      <c r="J537" s="281" t="s">
        <v>434</v>
      </c>
      <c r="K537" s="281" t="s">
        <v>1055</v>
      </c>
      <c r="L537" s="281" t="s">
        <v>427</v>
      </c>
      <c r="M537" s="282" t="s">
        <v>1056</v>
      </c>
      <c r="N537" s="281" t="s">
        <v>468</v>
      </c>
      <c r="O537" s="294">
        <v>0.97</v>
      </c>
      <c r="P537" s="295" t="s">
        <v>947</v>
      </c>
      <c r="Q537" s="121" t="s">
        <v>1123</v>
      </c>
      <c r="R537" s="285">
        <f t="shared" si="67"/>
        <v>12.144399999999999</v>
      </c>
    </row>
    <row r="538" spans="1:18" ht="42.75">
      <c r="A538" s="296" t="s">
        <v>434</v>
      </c>
      <c r="B538" s="296" t="s">
        <v>1042</v>
      </c>
      <c r="C538" s="296" t="s">
        <v>427</v>
      </c>
      <c r="D538" s="297" t="s">
        <v>1043</v>
      </c>
      <c r="E538" s="296" t="s">
        <v>451</v>
      </c>
      <c r="F538" s="298">
        <v>2.56</v>
      </c>
      <c r="G538" s="299">
        <v>81.180000000000007</v>
      </c>
      <c r="H538" s="121">
        <v>207.82</v>
      </c>
      <c r="I538" s="285">
        <f t="shared" si="66"/>
        <v>207.82080000000002</v>
      </c>
      <c r="J538" s="281" t="s">
        <v>434</v>
      </c>
      <c r="K538" s="281" t="s">
        <v>1058</v>
      </c>
      <c r="L538" s="281" t="s">
        <v>427</v>
      </c>
      <c r="M538" s="282" t="s">
        <v>1059</v>
      </c>
      <c r="N538" s="281" t="s">
        <v>451</v>
      </c>
      <c r="O538" s="294">
        <v>0.28000000000000003</v>
      </c>
      <c r="P538" s="295" t="s">
        <v>1060</v>
      </c>
      <c r="Q538" s="121" t="s">
        <v>1124</v>
      </c>
      <c r="R538" s="285">
        <f t="shared" si="67"/>
        <v>22.730400000000003</v>
      </c>
    </row>
    <row r="539" spans="1:18" ht="42.75">
      <c r="A539" s="296" t="s">
        <v>434</v>
      </c>
      <c r="B539" s="296" t="s">
        <v>1066</v>
      </c>
      <c r="C539" s="296" t="s">
        <v>427</v>
      </c>
      <c r="D539" s="297" t="s">
        <v>1067</v>
      </c>
      <c r="E539" s="296" t="s">
        <v>451</v>
      </c>
      <c r="F539" s="298">
        <v>2.73</v>
      </c>
      <c r="G539" s="299">
        <v>33.25</v>
      </c>
      <c r="H539" s="121">
        <v>90.77</v>
      </c>
      <c r="I539" s="285">
        <f t="shared" si="66"/>
        <v>90.772499999999994</v>
      </c>
      <c r="J539" s="281" t="s">
        <v>434</v>
      </c>
      <c r="K539" s="281" t="s">
        <v>1062</v>
      </c>
      <c r="L539" s="281" t="s">
        <v>427</v>
      </c>
      <c r="M539" s="282" t="s">
        <v>1063</v>
      </c>
      <c r="N539" s="281" t="s">
        <v>468</v>
      </c>
      <c r="O539" s="294">
        <v>0.18429999999999999</v>
      </c>
      <c r="P539" s="295" t="s">
        <v>1064</v>
      </c>
      <c r="Q539" s="121" t="s">
        <v>1125</v>
      </c>
      <c r="R539" s="285">
        <f t="shared" si="67"/>
        <v>6.1279749999999993</v>
      </c>
    </row>
    <row r="540" spans="1:18" ht="42.75">
      <c r="A540" s="296" t="s">
        <v>434</v>
      </c>
      <c r="B540" s="296" t="s">
        <v>1070</v>
      </c>
      <c r="C540" s="296" t="s">
        <v>427</v>
      </c>
      <c r="D540" s="297" t="s">
        <v>1071</v>
      </c>
      <c r="E540" s="296" t="s">
        <v>468</v>
      </c>
      <c r="F540" s="298">
        <v>0.78569999999999995</v>
      </c>
      <c r="G540" s="299">
        <v>30.3</v>
      </c>
      <c r="H540" s="121">
        <v>23.8</v>
      </c>
      <c r="I540" s="285">
        <f t="shared" si="66"/>
        <v>23.806709999999999</v>
      </c>
      <c r="J540" s="281" t="s">
        <v>434</v>
      </c>
      <c r="K540" s="281" t="s">
        <v>1066</v>
      </c>
      <c r="L540" s="281" t="s">
        <v>427</v>
      </c>
      <c r="M540" s="282" t="s">
        <v>1067</v>
      </c>
      <c r="N540" s="281" t="s">
        <v>451</v>
      </c>
      <c r="O540" s="294">
        <v>2.73</v>
      </c>
      <c r="P540" s="295" t="s">
        <v>1068</v>
      </c>
      <c r="Q540" s="121" t="s">
        <v>1126</v>
      </c>
      <c r="R540" s="285">
        <f t="shared" si="67"/>
        <v>82.719000000000008</v>
      </c>
    </row>
    <row r="541" spans="1:18" ht="28.5">
      <c r="A541" s="296" t="s">
        <v>434</v>
      </c>
      <c r="B541" s="296" t="s">
        <v>1074</v>
      </c>
      <c r="C541" s="296" t="s">
        <v>427</v>
      </c>
      <c r="D541" s="297" t="s">
        <v>1075</v>
      </c>
      <c r="E541" s="296" t="s">
        <v>468</v>
      </c>
      <c r="F541" s="298">
        <v>0.151</v>
      </c>
      <c r="G541" s="299">
        <v>91.47</v>
      </c>
      <c r="H541" s="121">
        <v>13.81</v>
      </c>
      <c r="I541" s="285">
        <f t="shared" si="66"/>
        <v>13.811969999999999</v>
      </c>
      <c r="J541" s="281" t="s">
        <v>434</v>
      </c>
      <c r="K541" s="281" t="s">
        <v>1070</v>
      </c>
      <c r="L541" s="281" t="s">
        <v>427</v>
      </c>
      <c r="M541" s="282" t="s">
        <v>1071</v>
      </c>
      <c r="N541" s="281" t="s">
        <v>468</v>
      </c>
      <c r="O541" s="294">
        <v>0.78569999999999995</v>
      </c>
      <c r="P541" s="295" t="s">
        <v>1072</v>
      </c>
      <c r="Q541" s="121" t="s">
        <v>1127</v>
      </c>
      <c r="R541" s="285">
        <f t="shared" si="67"/>
        <v>71.867978999999991</v>
      </c>
    </row>
    <row r="542" spans="1:18" ht="42.75">
      <c r="A542" s="300" t="s">
        <v>434</v>
      </c>
      <c r="B542" s="300" t="s">
        <v>1050</v>
      </c>
      <c r="C542" s="300" t="s">
        <v>427</v>
      </c>
      <c r="D542" s="301" t="s">
        <v>1051</v>
      </c>
      <c r="E542" s="300" t="s">
        <v>468</v>
      </c>
      <c r="F542" s="302">
        <v>0.151</v>
      </c>
      <c r="G542" s="303">
        <v>411.73</v>
      </c>
      <c r="H542" s="121">
        <v>62.17</v>
      </c>
      <c r="I542" s="285">
        <f t="shared" si="66"/>
        <v>62.171230000000001</v>
      </c>
      <c r="J542" s="300" t="s">
        <v>434</v>
      </c>
      <c r="K542" s="300" t="s">
        <v>1074</v>
      </c>
      <c r="L542" s="300" t="s">
        <v>427</v>
      </c>
      <c r="M542" s="301" t="s">
        <v>1075</v>
      </c>
      <c r="N542" s="300" t="s">
        <v>468</v>
      </c>
      <c r="O542" s="302">
        <v>0.151</v>
      </c>
      <c r="P542" s="303" t="s">
        <v>1076</v>
      </c>
      <c r="Q542" s="121" t="s">
        <v>1128</v>
      </c>
      <c r="R542" s="285">
        <f t="shared" si="67"/>
        <v>62.171230000000001</v>
      </c>
    </row>
    <row r="543" spans="1:18">
      <c r="A543" s="104"/>
      <c r="B543" s="104"/>
      <c r="C543" s="104"/>
      <c r="D543" s="104"/>
      <c r="E543" s="104"/>
      <c r="F543" s="105"/>
      <c r="G543" s="106"/>
      <c r="H543" s="107"/>
      <c r="I543" s="285"/>
    </row>
    <row r="544" spans="1:18">
      <c r="A544" s="108"/>
      <c r="B544" s="108"/>
      <c r="C544" s="108"/>
      <c r="D544" s="108"/>
      <c r="E544" s="108"/>
      <c r="F544" s="109"/>
      <c r="G544" s="110"/>
      <c r="H544" s="110"/>
      <c r="I544" s="285"/>
    </row>
    <row r="545" spans="1:18">
      <c r="A545" s="97" t="s">
        <v>1129</v>
      </c>
      <c r="B545" s="97" t="s">
        <v>418</v>
      </c>
      <c r="C545" s="97" t="s">
        <v>419</v>
      </c>
      <c r="D545" s="98" t="s">
        <v>420</v>
      </c>
      <c r="E545" s="97" t="s">
        <v>421</v>
      </c>
      <c r="F545" s="99" t="s">
        <v>422</v>
      </c>
      <c r="G545" s="97" t="s">
        <v>423</v>
      </c>
      <c r="H545" s="97" t="s">
        <v>424</v>
      </c>
      <c r="I545" s="285"/>
    </row>
    <row r="546" spans="1:18" ht="71.25">
      <c r="A546" s="100" t="s">
        <v>425</v>
      </c>
      <c r="B546" s="100" t="s">
        <v>1130</v>
      </c>
      <c r="C546" s="100" t="s">
        <v>427</v>
      </c>
      <c r="D546" s="101" t="s">
        <v>222</v>
      </c>
      <c r="E546" s="100" t="s">
        <v>8</v>
      </c>
      <c r="F546" s="102">
        <v>1</v>
      </c>
      <c r="G546" s="119">
        <v>173.74</v>
      </c>
      <c r="H546" s="119">
        <v>173.74</v>
      </c>
      <c r="I546" s="285">
        <f>SUM(I547:I556)</f>
        <v>173.77593000000002</v>
      </c>
      <c r="J546" s="100" t="s">
        <v>425</v>
      </c>
      <c r="K546" s="100" t="s">
        <v>1130</v>
      </c>
      <c r="L546" s="100" t="s">
        <v>427</v>
      </c>
      <c r="M546" s="101" t="s">
        <v>222</v>
      </c>
      <c r="N546" s="100" t="s">
        <v>8</v>
      </c>
      <c r="O546" s="102">
        <v>1</v>
      </c>
      <c r="P546" s="119" t="s">
        <v>1131</v>
      </c>
      <c r="Q546" s="119" t="s">
        <v>1131</v>
      </c>
      <c r="R546" s="285">
        <f>SUM(R547:R556)</f>
        <v>222.02847500000004</v>
      </c>
    </row>
    <row r="547" spans="1:18" ht="42.75">
      <c r="A547" s="283" t="s">
        <v>434</v>
      </c>
      <c r="B547" s="283" t="s">
        <v>1055</v>
      </c>
      <c r="C547" s="283" t="s">
        <v>427</v>
      </c>
      <c r="D547" s="284" t="s">
        <v>1056</v>
      </c>
      <c r="E547" s="283" t="s">
        <v>468</v>
      </c>
      <c r="F547" s="292">
        <v>0.26950000000000002</v>
      </c>
      <c r="G547" s="293">
        <v>57.15</v>
      </c>
      <c r="H547" s="121">
        <v>15.4</v>
      </c>
      <c r="I547" s="285">
        <f t="shared" ref="I547:I556" si="68">F547*G547</f>
        <v>15.401925</v>
      </c>
      <c r="J547" s="281" t="s">
        <v>434</v>
      </c>
      <c r="K547" s="281" t="s">
        <v>1042</v>
      </c>
      <c r="L547" s="281" t="s">
        <v>427</v>
      </c>
      <c r="M547" s="282" t="s">
        <v>1043</v>
      </c>
      <c r="N547" s="281" t="s">
        <v>451</v>
      </c>
      <c r="O547" s="294">
        <v>0.8</v>
      </c>
      <c r="P547" s="295" t="s">
        <v>1048</v>
      </c>
      <c r="Q547" s="121" t="s">
        <v>1132</v>
      </c>
      <c r="R547" s="285">
        <f t="shared" ref="R547:R556" si="69">O547*P547</f>
        <v>45.72</v>
      </c>
    </row>
    <row r="548" spans="1:18" ht="28.5">
      <c r="A548" s="283" t="s">
        <v>434</v>
      </c>
      <c r="B548" s="283" t="s">
        <v>1062</v>
      </c>
      <c r="C548" s="283" t="s">
        <v>427</v>
      </c>
      <c r="D548" s="284" t="s">
        <v>1063</v>
      </c>
      <c r="E548" s="283" t="s">
        <v>468</v>
      </c>
      <c r="F548" s="292">
        <v>7.1499999999999994E-2</v>
      </c>
      <c r="G548" s="293">
        <v>57.15</v>
      </c>
      <c r="H548" s="121">
        <v>4.08</v>
      </c>
      <c r="I548" s="285">
        <f t="shared" si="68"/>
        <v>4.0862249999999998</v>
      </c>
      <c r="J548" s="281" t="s">
        <v>434</v>
      </c>
      <c r="K548" s="281" t="s">
        <v>1046</v>
      </c>
      <c r="L548" s="281" t="s">
        <v>427</v>
      </c>
      <c r="M548" s="282" t="s">
        <v>1047</v>
      </c>
      <c r="N548" s="281" t="s">
        <v>451</v>
      </c>
      <c r="O548" s="294">
        <v>0.49</v>
      </c>
      <c r="P548" s="295" t="s">
        <v>1048</v>
      </c>
      <c r="Q548" s="121" t="s">
        <v>1133</v>
      </c>
      <c r="R548" s="285">
        <f t="shared" si="69"/>
        <v>28.003499999999999</v>
      </c>
    </row>
    <row r="549" spans="1:18" ht="42.75">
      <c r="A549" s="283" t="s">
        <v>434</v>
      </c>
      <c r="B549" s="283" t="s">
        <v>1046</v>
      </c>
      <c r="C549" s="283" t="s">
        <v>427</v>
      </c>
      <c r="D549" s="284" t="s">
        <v>1047</v>
      </c>
      <c r="E549" s="283" t="s">
        <v>451</v>
      </c>
      <c r="F549" s="292">
        <v>0.49</v>
      </c>
      <c r="G549" s="293">
        <v>19.329999999999998</v>
      </c>
      <c r="H549" s="121">
        <v>9.4700000000000006</v>
      </c>
      <c r="I549" s="285">
        <f t="shared" si="68"/>
        <v>9.4716999999999985</v>
      </c>
      <c r="J549" s="281" t="s">
        <v>434</v>
      </c>
      <c r="K549" s="281" t="s">
        <v>1050</v>
      </c>
      <c r="L549" s="281" t="s">
        <v>427</v>
      </c>
      <c r="M549" s="282" t="s">
        <v>1051</v>
      </c>
      <c r="N549" s="281" t="s">
        <v>468</v>
      </c>
      <c r="O549" s="294">
        <v>6.3100000000000003E-2</v>
      </c>
      <c r="P549" s="295" t="s">
        <v>1044</v>
      </c>
      <c r="Q549" s="121" t="s">
        <v>1134</v>
      </c>
      <c r="R549" s="285">
        <f t="shared" si="69"/>
        <v>1.2197229999999999</v>
      </c>
    </row>
    <row r="550" spans="1:18" ht="28.5">
      <c r="A550" s="111" t="s">
        <v>434</v>
      </c>
      <c r="B550" s="111" t="s">
        <v>942</v>
      </c>
      <c r="C550" s="111" t="s">
        <v>427</v>
      </c>
      <c r="D550" s="112" t="s">
        <v>943</v>
      </c>
      <c r="E550" s="111" t="s">
        <v>60</v>
      </c>
      <c r="F550" s="113">
        <v>0.71499999999999997</v>
      </c>
      <c r="G550" s="121">
        <v>12.52</v>
      </c>
      <c r="H550" s="121">
        <v>8.9499999999999993</v>
      </c>
      <c r="I550" s="285">
        <f t="shared" si="68"/>
        <v>8.9517999999999986</v>
      </c>
      <c r="J550" s="111" t="s">
        <v>434</v>
      </c>
      <c r="K550" s="111" t="s">
        <v>942</v>
      </c>
      <c r="L550" s="111" t="s">
        <v>427</v>
      </c>
      <c r="M550" s="112" t="s">
        <v>943</v>
      </c>
      <c r="N550" s="111" t="s">
        <v>60</v>
      </c>
      <c r="O550" s="113">
        <v>0.71499999999999997</v>
      </c>
      <c r="P550" s="121" t="s">
        <v>947</v>
      </c>
      <c r="Q550" s="121" t="s">
        <v>1135</v>
      </c>
      <c r="R550" s="285">
        <f t="shared" si="69"/>
        <v>8.9517999999999986</v>
      </c>
    </row>
    <row r="551" spans="1:18" ht="28.5">
      <c r="A551" s="283" t="s">
        <v>434</v>
      </c>
      <c r="B551" s="283" t="s">
        <v>1058</v>
      </c>
      <c r="C551" s="283" t="s">
        <v>427</v>
      </c>
      <c r="D551" s="284" t="s">
        <v>1059</v>
      </c>
      <c r="E551" s="283" t="s">
        <v>451</v>
      </c>
      <c r="F551" s="292">
        <v>0.128</v>
      </c>
      <c r="G551" s="293">
        <v>51.32</v>
      </c>
      <c r="H551" s="121">
        <v>6.56</v>
      </c>
      <c r="I551" s="285">
        <f t="shared" si="68"/>
        <v>6.5689600000000006</v>
      </c>
      <c r="J551" s="281" t="s">
        <v>434</v>
      </c>
      <c r="K551" s="281" t="s">
        <v>1055</v>
      </c>
      <c r="L551" s="281" t="s">
        <v>427</v>
      </c>
      <c r="M551" s="282" t="s">
        <v>1056</v>
      </c>
      <c r="N551" s="281" t="s">
        <v>468</v>
      </c>
      <c r="O551" s="294">
        <v>0.26950000000000002</v>
      </c>
      <c r="P551" s="295" t="s">
        <v>1053</v>
      </c>
      <c r="Q551" s="121" t="s">
        <v>1136</v>
      </c>
      <c r="R551" s="285">
        <f t="shared" si="69"/>
        <v>13.83074</v>
      </c>
    </row>
    <row r="552" spans="1:18" ht="42.75">
      <c r="A552" s="283" t="s">
        <v>434</v>
      </c>
      <c r="B552" s="283" t="s">
        <v>1042</v>
      </c>
      <c r="C552" s="283" t="s">
        <v>427</v>
      </c>
      <c r="D552" s="284" t="s">
        <v>1043</v>
      </c>
      <c r="E552" s="283" t="s">
        <v>451</v>
      </c>
      <c r="F552" s="292">
        <v>0.8</v>
      </c>
      <c r="G552" s="293">
        <v>81.180000000000007</v>
      </c>
      <c r="H552" s="121">
        <v>64.94</v>
      </c>
      <c r="I552" s="285">
        <f t="shared" si="68"/>
        <v>64.944000000000003</v>
      </c>
      <c r="J552" s="281" t="s">
        <v>434</v>
      </c>
      <c r="K552" s="281" t="s">
        <v>1058</v>
      </c>
      <c r="L552" s="281" t="s">
        <v>427</v>
      </c>
      <c r="M552" s="282" t="s">
        <v>1059</v>
      </c>
      <c r="N552" s="281" t="s">
        <v>451</v>
      </c>
      <c r="O552" s="294">
        <v>0.128</v>
      </c>
      <c r="P552" s="295" t="s">
        <v>1060</v>
      </c>
      <c r="Q552" s="121" t="s">
        <v>1137</v>
      </c>
      <c r="R552" s="285">
        <f t="shared" si="69"/>
        <v>10.39104</v>
      </c>
    </row>
    <row r="553" spans="1:18" ht="42.75">
      <c r="A553" s="283" t="s">
        <v>434</v>
      </c>
      <c r="B553" s="283" t="s">
        <v>1066</v>
      </c>
      <c r="C553" s="283" t="s">
        <v>427</v>
      </c>
      <c r="D553" s="284" t="s">
        <v>1067</v>
      </c>
      <c r="E553" s="283" t="s">
        <v>451</v>
      </c>
      <c r="F553" s="292">
        <v>0.8</v>
      </c>
      <c r="G553" s="293">
        <v>33.25</v>
      </c>
      <c r="H553" s="121">
        <v>26.6</v>
      </c>
      <c r="I553" s="285">
        <f t="shared" si="68"/>
        <v>26.6</v>
      </c>
      <c r="J553" s="281" t="s">
        <v>434</v>
      </c>
      <c r="K553" s="281" t="s">
        <v>1062</v>
      </c>
      <c r="L553" s="281" t="s">
        <v>427</v>
      </c>
      <c r="M553" s="282" t="s">
        <v>1063</v>
      </c>
      <c r="N553" s="281" t="s">
        <v>468</v>
      </c>
      <c r="O553" s="294">
        <v>7.1499999999999994E-2</v>
      </c>
      <c r="P553" s="295" t="s">
        <v>1064</v>
      </c>
      <c r="Q553" s="121" t="s">
        <v>1138</v>
      </c>
      <c r="R553" s="285">
        <f t="shared" si="69"/>
        <v>2.3773749999999998</v>
      </c>
    </row>
    <row r="554" spans="1:18" ht="42.75">
      <c r="A554" s="283" t="s">
        <v>434</v>
      </c>
      <c r="B554" s="283" t="s">
        <v>1070</v>
      </c>
      <c r="C554" s="283" t="s">
        <v>427</v>
      </c>
      <c r="D554" s="284" t="s">
        <v>1071</v>
      </c>
      <c r="E554" s="283" t="s">
        <v>468</v>
      </c>
      <c r="F554" s="292">
        <v>0.19800000000000001</v>
      </c>
      <c r="G554" s="293">
        <v>30.3</v>
      </c>
      <c r="H554" s="121">
        <v>5.99</v>
      </c>
      <c r="I554" s="285">
        <f t="shared" si="68"/>
        <v>5.9994000000000005</v>
      </c>
      <c r="J554" s="281" t="s">
        <v>434</v>
      </c>
      <c r="K554" s="281" t="s">
        <v>1066</v>
      </c>
      <c r="L554" s="281" t="s">
        <v>427</v>
      </c>
      <c r="M554" s="282" t="s">
        <v>1067</v>
      </c>
      <c r="N554" s="281" t="s">
        <v>451</v>
      </c>
      <c r="O554" s="294">
        <v>0.8</v>
      </c>
      <c r="P554" s="295" t="s">
        <v>1068</v>
      </c>
      <c r="Q554" s="121" t="s">
        <v>1139</v>
      </c>
      <c r="R554" s="285">
        <f t="shared" si="69"/>
        <v>24.240000000000002</v>
      </c>
    </row>
    <row r="555" spans="1:18" ht="42.75">
      <c r="A555" s="283" t="s">
        <v>434</v>
      </c>
      <c r="B555" s="283" t="s">
        <v>1050</v>
      </c>
      <c r="C555" s="283" t="s">
        <v>427</v>
      </c>
      <c r="D555" s="284" t="s">
        <v>1051</v>
      </c>
      <c r="E555" s="283" t="s">
        <v>468</v>
      </c>
      <c r="F555" s="292">
        <v>6.3100000000000003E-2</v>
      </c>
      <c r="G555" s="293">
        <v>411.73</v>
      </c>
      <c r="H555" s="121">
        <v>25.98</v>
      </c>
      <c r="I555" s="285">
        <f t="shared" si="68"/>
        <v>25.980163000000001</v>
      </c>
      <c r="J555" s="281" t="s">
        <v>434</v>
      </c>
      <c r="K555" s="281" t="s">
        <v>1070</v>
      </c>
      <c r="L555" s="281" t="s">
        <v>427</v>
      </c>
      <c r="M555" s="282" t="s">
        <v>1071</v>
      </c>
      <c r="N555" s="281" t="s">
        <v>468</v>
      </c>
      <c r="O555" s="294">
        <v>0.19800000000000001</v>
      </c>
      <c r="P555" s="295" t="s">
        <v>1076</v>
      </c>
      <c r="Q555" s="121" t="s">
        <v>1140</v>
      </c>
      <c r="R555" s="285">
        <f t="shared" si="69"/>
        <v>81.522540000000006</v>
      </c>
    </row>
    <row r="556" spans="1:18" ht="28.5">
      <c r="A556" s="111" t="s">
        <v>434</v>
      </c>
      <c r="B556" s="111" t="s">
        <v>1074</v>
      </c>
      <c r="C556" s="111" t="s">
        <v>427</v>
      </c>
      <c r="D556" s="112" t="s">
        <v>1075</v>
      </c>
      <c r="E556" s="111" t="s">
        <v>468</v>
      </c>
      <c r="F556" s="113">
        <v>6.3100000000000003E-2</v>
      </c>
      <c r="G556" s="121">
        <v>91.47</v>
      </c>
      <c r="H556" s="121">
        <v>5.77</v>
      </c>
      <c r="I556" s="285">
        <f t="shared" si="68"/>
        <v>5.771757</v>
      </c>
      <c r="J556" s="111" t="s">
        <v>434</v>
      </c>
      <c r="K556" s="111" t="s">
        <v>1074</v>
      </c>
      <c r="L556" s="111" t="s">
        <v>427</v>
      </c>
      <c r="M556" s="112" t="s">
        <v>1075</v>
      </c>
      <c r="N556" s="111" t="s">
        <v>468</v>
      </c>
      <c r="O556" s="113">
        <v>6.3100000000000003E-2</v>
      </c>
      <c r="P556" s="121" t="s">
        <v>1072</v>
      </c>
      <c r="Q556" s="121" t="s">
        <v>1141</v>
      </c>
      <c r="R556" s="285">
        <f t="shared" si="69"/>
        <v>5.771757</v>
      </c>
    </row>
    <row r="557" spans="1:18">
      <c r="A557" s="104"/>
      <c r="B557" s="104"/>
      <c r="C557" s="104"/>
      <c r="D557" s="104"/>
      <c r="E557" s="104"/>
      <c r="F557" s="105"/>
      <c r="G557" s="106"/>
      <c r="H557" s="107"/>
      <c r="I557" s="285"/>
    </row>
    <row r="558" spans="1:18">
      <c r="A558" s="108"/>
      <c r="B558" s="108"/>
      <c r="C558" s="108"/>
      <c r="D558" s="108"/>
      <c r="E558" s="108"/>
      <c r="F558" s="109"/>
      <c r="G558" s="110"/>
      <c r="H558" s="110"/>
      <c r="I558" s="285"/>
    </row>
    <row r="559" spans="1:18">
      <c r="A559" s="97" t="s">
        <v>1142</v>
      </c>
      <c r="B559" s="97" t="s">
        <v>418</v>
      </c>
      <c r="C559" s="97" t="s">
        <v>419</v>
      </c>
      <c r="D559" s="98" t="s">
        <v>420</v>
      </c>
      <c r="E559" s="97" t="s">
        <v>421</v>
      </c>
      <c r="F559" s="99" t="s">
        <v>422</v>
      </c>
      <c r="G559" s="97" t="s">
        <v>423</v>
      </c>
      <c r="H559" s="97" t="s">
        <v>424</v>
      </c>
      <c r="I559" s="285"/>
    </row>
    <row r="560" spans="1:18" ht="28.5">
      <c r="A560" s="100" t="s">
        <v>425</v>
      </c>
      <c r="B560" s="100" t="s">
        <v>1143</v>
      </c>
      <c r="C560" s="100" t="s">
        <v>427</v>
      </c>
      <c r="D560" s="101" t="s">
        <v>225</v>
      </c>
      <c r="E560" s="100" t="s">
        <v>542</v>
      </c>
      <c r="F560" s="102">
        <v>1</v>
      </c>
      <c r="G560" s="119" t="s">
        <v>1144</v>
      </c>
      <c r="H560" s="119" t="s">
        <v>1144</v>
      </c>
      <c r="I560" s="285">
        <f>SUM(I561:I562)</f>
        <v>54.59</v>
      </c>
    </row>
    <row r="561" spans="1:9" ht="28.5">
      <c r="A561" s="111" t="s">
        <v>434</v>
      </c>
      <c r="B561" s="111" t="s">
        <v>536</v>
      </c>
      <c r="C561" s="111" t="s">
        <v>427</v>
      </c>
      <c r="D561" s="112" t="s">
        <v>522</v>
      </c>
      <c r="E561" s="111" t="s">
        <v>464</v>
      </c>
      <c r="F561" s="113">
        <v>1</v>
      </c>
      <c r="G561" s="121" t="s">
        <v>537</v>
      </c>
      <c r="H561" s="121" t="s">
        <v>537</v>
      </c>
      <c r="I561" s="285">
        <f t="shared" ref="I561:I562" si="70">F561*G561</f>
        <v>23.1</v>
      </c>
    </row>
    <row r="562" spans="1:9" ht="28.5">
      <c r="A562" s="115" t="s">
        <v>437</v>
      </c>
      <c r="B562" s="115" t="s">
        <v>1145</v>
      </c>
      <c r="C562" s="115" t="s">
        <v>427</v>
      </c>
      <c r="D562" s="116" t="s">
        <v>225</v>
      </c>
      <c r="E562" s="115" t="s">
        <v>542</v>
      </c>
      <c r="F562" s="117">
        <v>1</v>
      </c>
      <c r="G562" s="120" t="s">
        <v>1146</v>
      </c>
      <c r="H562" s="120" t="s">
        <v>1146</v>
      </c>
      <c r="I562" s="285">
        <f t="shared" si="70"/>
        <v>31.49</v>
      </c>
    </row>
    <row r="563" spans="1:9">
      <c r="A563" s="104"/>
      <c r="B563" s="104"/>
      <c r="C563" s="104"/>
      <c r="D563" s="104"/>
      <c r="E563" s="104"/>
      <c r="F563" s="105"/>
      <c r="G563" s="106"/>
      <c r="H563" s="107"/>
      <c r="I563" s="285"/>
    </row>
    <row r="564" spans="1:9">
      <c r="A564" s="108"/>
      <c r="B564" s="108"/>
      <c r="C564" s="108"/>
      <c r="D564" s="108"/>
      <c r="E564" s="108"/>
      <c r="F564" s="109"/>
      <c r="G564" s="110"/>
      <c r="H564" s="110"/>
      <c r="I564" s="285"/>
    </row>
    <row r="565" spans="1:9">
      <c r="A565" s="97" t="s">
        <v>1147</v>
      </c>
      <c r="B565" s="97" t="s">
        <v>418</v>
      </c>
      <c r="C565" s="97" t="s">
        <v>419</v>
      </c>
      <c r="D565" s="98" t="s">
        <v>420</v>
      </c>
      <c r="E565" s="97" t="s">
        <v>421</v>
      </c>
      <c r="F565" s="99" t="s">
        <v>422</v>
      </c>
      <c r="G565" s="97" t="s">
        <v>423</v>
      </c>
      <c r="H565" s="97" t="s">
        <v>424</v>
      </c>
      <c r="I565" s="285"/>
    </row>
    <row r="566" spans="1:9" ht="28.5">
      <c r="A566" s="100" t="s">
        <v>425</v>
      </c>
      <c r="B566" s="100" t="s">
        <v>1148</v>
      </c>
      <c r="C566" s="100" t="s">
        <v>427</v>
      </c>
      <c r="D566" s="101" t="s">
        <v>228</v>
      </c>
      <c r="E566" s="100" t="s">
        <v>542</v>
      </c>
      <c r="F566" s="102">
        <v>1</v>
      </c>
      <c r="G566" s="119" t="s">
        <v>1149</v>
      </c>
      <c r="H566" s="119" t="s">
        <v>1149</v>
      </c>
      <c r="I566" s="285">
        <f>SUM(I567:I568)</f>
        <v>56.49</v>
      </c>
    </row>
    <row r="567" spans="1:9" ht="28.5">
      <c r="A567" s="111" t="s">
        <v>434</v>
      </c>
      <c r="B567" s="111" t="s">
        <v>536</v>
      </c>
      <c r="C567" s="111" t="s">
        <v>427</v>
      </c>
      <c r="D567" s="112" t="s">
        <v>522</v>
      </c>
      <c r="E567" s="111" t="s">
        <v>464</v>
      </c>
      <c r="F567" s="113">
        <v>1</v>
      </c>
      <c r="G567" s="121" t="s">
        <v>537</v>
      </c>
      <c r="H567" s="121" t="s">
        <v>537</v>
      </c>
      <c r="I567" s="285">
        <f t="shared" ref="I567:I568" si="71">F567*G567</f>
        <v>23.1</v>
      </c>
    </row>
    <row r="568" spans="1:9" ht="28.5">
      <c r="A568" s="115" t="s">
        <v>437</v>
      </c>
      <c r="B568" s="115" t="s">
        <v>1150</v>
      </c>
      <c r="C568" s="115" t="s">
        <v>427</v>
      </c>
      <c r="D568" s="116" t="s">
        <v>1151</v>
      </c>
      <c r="E568" s="115" t="s">
        <v>676</v>
      </c>
      <c r="F568" s="117">
        <v>1</v>
      </c>
      <c r="G568" s="120" t="s">
        <v>1152</v>
      </c>
      <c r="H568" s="120" t="s">
        <v>1152</v>
      </c>
      <c r="I568" s="285">
        <f t="shared" si="71"/>
        <v>33.39</v>
      </c>
    </row>
    <row r="569" spans="1:9">
      <c r="A569" s="104"/>
      <c r="B569" s="104"/>
      <c r="C569" s="104"/>
      <c r="D569" s="104"/>
      <c r="E569" s="104"/>
      <c r="F569" s="105"/>
      <c r="G569" s="106"/>
      <c r="H569" s="107"/>
      <c r="I569" s="285"/>
    </row>
    <row r="570" spans="1:9">
      <c r="A570" s="108"/>
      <c r="B570" s="108"/>
      <c r="C570" s="108"/>
      <c r="D570" s="108"/>
      <c r="E570" s="108"/>
      <c r="F570" s="109"/>
      <c r="G570" s="110"/>
      <c r="H570" s="110"/>
      <c r="I570" s="285"/>
    </row>
    <row r="571" spans="1:9">
      <c r="A571" s="97" t="s">
        <v>1153</v>
      </c>
      <c r="B571" s="97" t="s">
        <v>418</v>
      </c>
      <c r="C571" s="97" t="s">
        <v>419</v>
      </c>
      <c r="D571" s="98" t="s">
        <v>420</v>
      </c>
      <c r="E571" s="97" t="s">
        <v>421</v>
      </c>
      <c r="F571" s="99" t="s">
        <v>422</v>
      </c>
      <c r="G571" s="97" t="s">
        <v>423</v>
      </c>
      <c r="H571" s="97" t="s">
        <v>424</v>
      </c>
      <c r="I571" s="285"/>
    </row>
    <row r="572" spans="1:9" ht="28.5">
      <c r="A572" s="100" t="s">
        <v>425</v>
      </c>
      <c r="B572" s="100" t="s">
        <v>1154</v>
      </c>
      <c r="C572" s="100" t="s">
        <v>431</v>
      </c>
      <c r="D572" s="101" t="s">
        <v>230</v>
      </c>
      <c r="E572" s="100" t="s">
        <v>8</v>
      </c>
      <c r="F572" s="102">
        <v>1</v>
      </c>
      <c r="G572" s="103">
        <v>19.95</v>
      </c>
      <c r="H572" s="103">
        <v>19.95</v>
      </c>
      <c r="I572" s="285">
        <f>SUM(I573:I577)</f>
        <v>19.959400000000002</v>
      </c>
    </row>
    <row r="573" spans="1:9" ht="28.5">
      <c r="A573" s="111" t="s">
        <v>434</v>
      </c>
      <c r="B573" s="111" t="s">
        <v>1025</v>
      </c>
      <c r="C573" s="111" t="s">
        <v>431</v>
      </c>
      <c r="D573" s="112" t="s">
        <v>1026</v>
      </c>
      <c r="E573" s="111" t="s">
        <v>520</v>
      </c>
      <c r="F573" s="113">
        <v>0.17</v>
      </c>
      <c r="G573" s="114">
        <v>18.010000000000002</v>
      </c>
      <c r="H573" s="114">
        <v>3.06</v>
      </c>
      <c r="I573" s="285">
        <f t="shared" ref="I573:I577" si="72">F573*G573</f>
        <v>3.0617000000000005</v>
      </c>
    </row>
    <row r="574" spans="1:9" ht="28.5">
      <c r="A574" s="111" t="s">
        <v>434</v>
      </c>
      <c r="B574" s="111" t="s">
        <v>1013</v>
      </c>
      <c r="C574" s="111" t="s">
        <v>431</v>
      </c>
      <c r="D574" s="112" t="s">
        <v>1014</v>
      </c>
      <c r="E574" s="111" t="s">
        <v>520</v>
      </c>
      <c r="F574" s="113">
        <v>0.17</v>
      </c>
      <c r="G574" s="114">
        <v>22.49</v>
      </c>
      <c r="H574" s="114">
        <v>3.82</v>
      </c>
      <c r="I574" s="285">
        <f t="shared" si="72"/>
        <v>3.8233000000000001</v>
      </c>
    </row>
    <row r="575" spans="1:9" ht="28.5">
      <c r="A575" s="115" t="s">
        <v>437</v>
      </c>
      <c r="B575" s="115" t="s">
        <v>1105</v>
      </c>
      <c r="C575" s="115" t="s">
        <v>431</v>
      </c>
      <c r="D575" s="116" t="s">
        <v>1106</v>
      </c>
      <c r="E575" s="115" t="s">
        <v>8</v>
      </c>
      <c r="F575" s="117">
        <v>2</v>
      </c>
      <c r="G575" s="118">
        <v>1.66</v>
      </c>
      <c r="H575" s="118">
        <v>3.32</v>
      </c>
      <c r="I575" s="285">
        <f t="shared" si="72"/>
        <v>3.32</v>
      </c>
    </row>
    <row r="576" spans="1:9" ht="42.75">
      <c r="A576" s="115" t="s">
        <v>437</v>
      </c>
      <c r="B576" s="115" t="s">
        <v>1109</v>
      </c>
      <c r="C576" s="115" t="s">
        <v>431</v>
      </c>
      <c r="D576" s="116" t="s">
        <v>1110</v>
      </c>
      <c r="E576" s="115" t="s">
        <v>8</v>
      </c>
      <c r="F576" s="117">
        <v>0.04</v>
      </c>
      <c r="G576" s="118">
        <v>22.86</v>
      </c>
      <c r="H576" s="118">
        <v>0.91</v>
      </c>
      <c r="I576" s="285">
        <f t="shared" si="72"/>
        <v>0.91439999999999999</v>
      </c>
    </row>
    <row r="577" spans="1:9" ht="28.5">
      <c r="A577" s="115" t="s">
        <v>437</v>
      </c>
      <c r="B577" s="115" t="s">
        <v>1155</v>
      </c>
      <c r="C577" s="115" t="s">
        <v>431</v>
      </c>
      <c r="D577" s="116" t="s">
        <v>1156</v>
      </c>
      <c r="E577" s="115" t="s">
        <v>8</v>
      </c>
      <c r="F577" s="117">
        <v>1</v>
      </c>
      <c r="G577" s="118">
        <v>8.84</v>
      </c>
      <c r="H577" s="118">
        <v>8.84</v>
      </c>
      <c r="I577" s="285">
        <f t="shared" si="72"/>
        <v>8.84</v>
      </c>
    </row>
    <row r="578" spans="1:9">
      <c r="A578" s="104"/>
      <c r="B578" s="104"/>
      <c r="C578" s="104"/>
      <c r="D578" s="104"/>
      <c r="E578" s="104"/>
      <c r="F578" s="105"/>
      <c r="G578" s="106"/>
      <c r="H578" s="107"/>
      <c r="I578" s="285"/>
    </row>
    <row r="579" spans="1:9">
      <c r="A579" s="108"/>
      <c r="B579" s="108"/>
      <c r="C579" s="108"/>
      <c r="D579" s="108"/>
      <c r="E579" s="108"/>
      <c r="F579" s="109"/>
      <c r="G579" s="110"/>
      <c r="H579" s="110"/>
      <c r="I579" s="285"/>
    </row>
    <row r="580" spans="1:9">
      <c r="A580" s="97" t="s">
        <v>1157</v>
      </c>
      <c r="B580" s="97" t="s">
        <v>418</v>
      </c>
      <c r="C580" s="97" t="s">
        <v>419</v>
      </c>
      <c r="D580" s="98" t="s">
        <v>420</v>
      </c>
      <c r="E580" s="97" t="s">
        <v>421</v>
      </c>
      <c r="F580" s="99" t="s">
        <v>422</v>
      </c>
      <c r="G580" s="97" t="s">
        <v>423</v>
      </c>
      <c r="H580" s="97" t="s">
        <v>424</v>
      </c>
      <c r="I580" s="285"/>
    </row>
    <row r="581" spans="1:9" ht="28.5">
      <c r="A581" s="100" t="s">
        <v>425</v>
      </c>
      <c r="B581" s="100" t="s">
        <v>1158</v>
      </c>
      <c r="C581" s="100" t="s">
        <v>431</v>
      </c>
      <c r="D581" s="101" t="s">
        <v>232</v>
      </c>
      <c r="E581" s="100" t="s">
        <v>8</v>
      </c>
      <c r="F581" s="102">
        <v>1</v>
      </c>
      <c r="G581" s="103">
        <v>11.74</v>
      </c>
      <c r="H581" s="103">
        <v>11.74</v>
      </c>
      <c r="I581" s="285">
        <f>SUM(I582:I587)</f>
        <v>11.76638</v>
      </c>
    </row>
    <row r="582" spans="1:9" ht="28.5">
      <c r="A582" s="111" t="s">
        <v>434</v>
      </c>
      <c r="B582" s="111" t="s">
        <v>1025</v>
      </c>
      <c r="C582" s="111" t="s">
        <v>431</v>
      </c>
      <c r="D582" s="112" t="s">
        <v>1026</v>
      </c>
      <c r="E582" s="111" t="s">
        <v>520</v>
      </c>
      <c r="F582" s="113">
        <v>0.14000000000000001</v>
      </c>
      <c r="G582" s="114">
        <v>18.010000000000002</v>
      </c>
      <c r="H582" s="114">
        <v>2.52</v>
      </c>
      <c r="I582" s="285">
        <f t="shared" ref="I582:I587" si="73">F582*G582</f>
        <v>2.5214000000000003</v>
      </c>
    </row>
    <row r="583" spans="1:9" ht="28.5">
      <c r="A583" s="111" t="s">
        <v>434</v>
      </c>
      <c r="B583" s="111" t="s">
        <v>1013</v>
      </c>
      <c r="C583" s="111" t="s">
        <v>431</v>
      </c>
      <c r="D583" s="112" t="s">
        <v>1014</v>
      </c>
      <c r="E583" s="111" t="s">
        <v>520</v>
      </c>
      <c r="F583" s="113">
        <v>0.14000000000000001</v>
      </c>
      <c r="G583" s="114">
        <v>22.49</v>
      </c>
      <c r="H583" s="114">
        <v>3.14</v>
      </c>
      <c r="I583" s="285">
        <f t="shared" si="73"/>
        <v>3.1486000000000001</v>
      </c>
    </row>
    <row r="584" spans="1:9">
      <c r="A584" s="115" t="s">
        <v>437</v>
      </c>
      <c r="B584" s="115" t="s">
        <v>1027</v>
      </c>
      <c r="C584" s="115" t="s">
        <v>431</v>
      </c>
      <c r="D584" s="116" t="s">
        <v>1028</v>
      </c>
      <c r="E584" s="115" t="s">
        <v>8</v>
      </c>
      <c r="F584" s="117">
        <v>1.4800000000000001E-2</v>
      </c>
      <c r="G584" s="118">
        <v>55.4</v>
      </c>
      <c r="H584" s="118">
        <v>0.81</v>
      </c>
      <c r="I584" s="285">
        <f t="shared" si="73"/>
        <v>0.81991999999999998</v>
      </c>
    </row>
    <row r="585" spans="1:9">
      <c r="A585" s="115" t="s">
        <v>437</v>
      </c>
      <c r="B585" s="115" t="s">
        <v>1029</v>
      </c>
      <c r="C585" s="115" t="s">
        <v>431</v>
      </c>
      <c r="D585" s="116" t="s">
        <v>1030</v>
      </c>
      <c r="E585" s="115" t="s">
        <v>8</v>
      </c>
      <c r="F585" s="117">
        <v>5.0999999999999997E-2</v>
      </c>
      <c r="G585" s="118">
        <v>2.06</v>
      </c>
      <c r="H585" s="118">
        <v>0.1</v>
      </c>
      <c r="I585" s="285">
        <f t="shared" si="73"/>
        <v>0.10506</v>
      </c>
    </row>
    <row r="586" spans="1:9" ht="28.5">
      <c r="A586" s="115" t="s">
        <v>437</v>
      </c>
      <c r="B586" s="115" t="s">
        <v>1031</v>
      </c>
      <c r="C586" s="115" t="s">
        <v>431</v>
      </c>
      <c r="D586" s="116" t="s">
        <v>1032</v>
      </c>
      <c r="E586" s="115" t="s">
        <v>8</v>
      </c>
      <c r="F586" s="117">
        <v>1.4999999999999999E-2</v>
      </c>
      <c r="G586" s="118">
        <v>62.76</v>
      </c>
      <c r="H586" s="118">
        <v>0.94</v>
      </c>
      <c r="I586" s="285">
        <f t="shared" si="73"/>
        <v>0.9413999999999999</v>
      </c>
    </row>
    <row r="587" spans="1:9" ht="28.5">
      <c r="A587" s="115" t="s">
        <v>437</v>
      </c>
      <c r="B587" s="115" t="s">
        <v>1159</v>
      </c>
      <c r="C587" s="115" t="s">
        <v>431</v>
      </c>
      <c r="D587" s="116" t="s">
        <v>1160</v>
      </c>
      <c r="E587" s="115" t="s">
        <v>8</v>
      </c>
      <c r="F587" s="117">
        <v>1</v>
      </c>
      <c r="G587" s="118">
        <v>4.2300000000000004</v>
      </c>
      <c r="H587" s="118">
        <v>4.2300000000000004</v>
      </c>
      <c r="I587" s="285">
        <f t="shared" si="73"/>
        <v>4.2300000000000004</v>
      </c>
    </row>
    <row r="588" spans="1:9">
      <c r="A588" s="104"/>
      <c r="B588" s="104"/>
      <c r="C588" s="104"/>
      <c r="D588" s="104"/>
      <c r="E588" s="104"/>
      <c r="F588" s="105"/>
      <c r="G588" s="106"/>
      <c r="H588" s="107"/>
      <c r="I588" s="285"/>
    </row>
    <row r="589" spans="1:9">
      <c r="A589" s="108"/>
      <c r="B589" s="108"/>
      <c r="C589" s="108"/>
      <c r="D589" s="108"/>
      <c r="E589" s="108"/>
      <c r="F589" s="109"/>
      <c r="G589" s="110"/>
      <c r="H589" s="110"/>
      <c r="I589" s="285"/>
    </row>
    <row r="590" spans="1:9">
      <c r="A590" s="97" t="s">
        <v>1161</v>
      </c>
      <c r="B590" s="97" t="s">
        <v>418</v>
      </c>
      <c r="C590" s="97" t="s">
        <v>419</v>
      </c>
      <c r="D590" s="98" t="s">
        <v>420</v>
      </c>
      <c r="E590" s="97" t="s">
        <v>421</v>
      </c>
      <c r="F590" s="99" t="s">
        <v>422</v>
      </c>
      <c r="G590" s="97" t="s">
        <v>423</v>
      </c>
      <c r="H590" s="97" t="s">
        <v>424</v>
      </c>
      <c r="I590" s="285"/>
    </row>
    <row r="591" spans="1:9" ht="28.5">
      <c r="A591" s="100" t="s">
        <v>425</v>
      </c>
      <c r="B591" s="100" t="s">
        <v>1162</v>
      </c>
      <c r="C591" s="100" t="s">
        <v>431</v>
      </c>
      <c r="D591" s="101" t="s">
        <v>234</v>
      </c>
      <c r="E591" s="100" t="s">
        <v>8</v>
      </c>
      <c r="F591" s="102">
        <v>1</v>
      </c>
      <c r="G591" s="103">
        <v>6.87</v>
      </c>
      <c r="H591" s="103">
        <v>6.87</v>
      </c>
      <c r="I591" s="285">
        <f>SUM(I592:I597)</f>
        <v>6.8931200000000015</v>
      </c>
    </row>
    <row r="592" spans="1:9" ht="28.5">
      <c r="A592" s="111" t="s">
        <v>434</v>
      </c>
      <c r="B592" s="111" t="s">
        <v>1025</v>
      </c>
      <c r="C592" s="111" t="s">
        <v>431</v>
      </c>
      <c r="D592" s="112" t="s">
        <v>1026</v>
      </c>
      <c r="E592" s="111" t="s">
        <v>520</v>
      </c>
      <c r="F592" s="113">
        <v>0.1</v>
      </c>
      <c r="G592" s="114">
        <v>18.010000000000002</v>
      </c>
      <c r="H592" s="114">
        <v>1.8</v>
      </c>
      <c r="I592" s="285">
        <f t="shared" ref="I592:I597" si="74">F592*G592</f>
        <v>1.8010000000000002</v>
      </c>
    </row>
    <row r="593" spans="1:9" ht="28.5">
      <c r="A593" s="111" t="s">
        <v>434</v>
      </c>
      <c r="B593" s="111" t="s">
        <v>1013</v>
      </c>
      <c r="C593" s="111" t="s">
        <v>431</v>
      </c>
      <c r="D593" s="112" t="s">
        <v>1014</v>
      </c>
      <c r="E593" s="111" t="s">
        <v>520</v>
      </c>
      <c r="F593" s="113">
        <v>0.1</v>
      </c>
      <c r="G593" s="114">
        <v>22.49</v>
      </c>
      <c r="H593" s="114">
        <v>2.2400000000000002</v>
      </c>
      <c r="I593" s="285">
        <f t="shared" si="74"/>
        <v>2.2490000000000001</v>
      </c>
    </row>
    <row r="594" spans="1:9">
      <c r="A594" s="115" t="s">
        <v>437</v>
      </c>
      <c r="B594" s="115" t="s">
        <v>1027</v>
      </c>
      <c r="C594" s="115" t="s">
        <v>431</v>
      </c>
      <c r="D594" s="116" t="s">
        <v>1028</v>
      </c>
      <c r="E594" s="115" t="s">
        <v>8</v>
      </c>
      <c r="F594" s="117">
        <v>9.9000000000000008E-3</v>
      </c>
      <c r="G594" s="118">
        <v>55.4</v>
      </c>
      <c r="H594" s="118">
        <v>0.54</v>
      </c>
      <c r="I594" s="285">
        <f t="shared" si="74"/>
        <v>0.54846000000000006</v>
      </c>
    </row>
    <row r="595" spans="1:9" ht="28.5">
      <c r="A595" s="115" t="s">
        <v>437</v>
      </c>
      <c r="B595" s="115" t="s">
        <v>1163</v>
      </c>
      <c r="C595" s="115" t="s">
        <v>431</v>
      </c>
      <c r="D595" s="116" t="s">
        <v>1164</v>
      </c>
      <c r="E595" s="115" t="s">
        <v>8</v>
      </c>
      <c r="F595" s="117">
        <v>1</v>
      </c>
      <c r="G595" s="118">
        <v>1.31</v>
      </c>
      <c r="H595" s="118">
        <v>1.31</v>
      </c>
      <c r="I595" s="285">
        <f t="shared" si="74"/>
        <v>1.31</v>
      </c>
    </row>
    <row r="596" spans="1:9">
      <c r="A596" s="115" t="s">
        <v>437</v>
      </c>
      <c r="B596" s="115" t="s">
        <v>1029</v>
      </c>
      <c r="C596" s="115" t="s">
        <v>431</v>
      </c>
      <c r="D596" s="116" t="s">
        <v>1030</v>
      </c>
      <c r="E596" s="115" t="s">
        <v>8</v>
      </c>
      <c r="F596" s="117">
        <v>2.1000000000000001E-2</v>
      </c>
      <c r="G596" s="118">
        <v>2.06</v>
      </c>
      <c r="H596" s="118">
        <v>0.04</v>
      </c>
      <c r="I596" s="285">
        <f t="shared" si="74"/>
        <v>4.3260000000000007E-2</v>
      </c>
    </row>
    <row r="597" spans="1:9" ht="28.5">
      <c r="A597" s="115" t="s">
        <v>437</v>
      </c>
      <c r="B597" s="115" t="s">
        <v>1031</v>
      </c>
      <c r="C597" s="115" t="s">
        <v>431</v>
      </c>
      <c r="D597" s="116" t="s">
        <v>1032</v>
      </c>
      <c r="E597" s="115" t="s">
        <v>8</v>
      </c>
      <c r="F597" s="117">
        <v>1.4999999999999999E-2</v>
      </c>
      <c r="G597" s="118">
        <v>62.76</v>
      </c>
      <c r="H597" s="118">
        <v>0.94</v>
      </c>
      <c r="I597" s="285">
        <f t="shared" si="74"/>
        <v>0.9413999999999999</v>
      </c>
    </row>
    <row r="598" spans="1:9">
      <c r="A598" s="104"/>
      <c r="B598" s="104"/>
      <c r="C598" s="104"/>
      <c r="D598" s="104"/>
      <c r="E598" s="104"/>
      <c r="F598" s="105"/>
      <c r="G598" s="106"/>
      <c r="H598" s="107"/>
      <c r="I598" s="285"/>
    </row>
    <row r="599" spans="1:9">
      <c r="A599" s="108"/>
      <c r="B599" s="108"/>
      <c r="C599" s="108"/>
      <c r="D599" s="108"/>
      <c r="E599" s="108"/>
      <c r="F599" s="109"/>
      <c r="G599" s="110"/>
      <c r="H599" s="110"/>
      <c r="I599" s="285"/>
    </row>
    <row r="600" spans="1:9">
      <c r="A600" s="97" t="s">
        <v>1165</v>
      </c>
      <c r="B600" s="97" t="s">
        <v>418</v>
      </c>
      <c r="C600" s="97" t="s">
        <v>419</v>
      </c>
      <c r="D600" s="98" t="s">
        <v>420</v>
      </c>
      <c r="E600" s="97" t="s">
        <v>421</v>
      </c>
      <c r="F600" s="99" t="s">
        <v>422</v>
      </c>
      <c r="G600" s="97" t="s">
        <v>423</v>
      </c>
      <c r="H600" s="97" t="s">
        <v>424</v>
      </c>
      <c r="I600" s="285"/>
    </row>
    <row r="601" spans="1:9" ht="28.5">
      <c r="A601" s="100" t="s">
        <v>425</v>
      </c>
      <c r="B601" s="100" t="s">
        <v>1166</v>
      </c>
      <c r="C601" s="100" t="s">
        <v>431</v>
      </c>
      <c r="D601" s="101" t="s">
        <v>236</v>
      </c>
      <c r="E601" s="100" t="s">
        <v>8</v>
      </c>
      <c r="F601" s="102">
        <v>1</v>
      </c>
      <c r="G601" s="103">
        <v>11.27</v>
      </c>
      <c r="H601" s="103">
        <v>11.27</v>
      </c>
      <c r="I601" s="285">
        <f>SUM(I602:I607)</f>
        <v>11.282200000000001</v>
      </c>
    </row>
    <row r="602" spans="1:9" ht="28.5">
      <c r="A602" s="111" t="s">
        <v>434</v>
      </c>
      <c r="B602" s="111" t="s">
        <v>1025</v>
      </c>
      <c r="C602" s="111" t="s">
        <v>431</v>
      </c>
      <c r="D602" s="112" t="s">
        <v>1026</v>
      </c>
      <c r="E602" s="111" t="s">
        <v>520</v>
      </c>
      <c r="F602" s="113">
        <v>0.13</v>
      </c>
      <c r="G602" s="114">
        <v>18.010000000000002</v>
      </c>
      <c r="H602" s="114">
        <v>2.34</v>
      </c>
      <c r="I602" s="285">
        <f t="shared" ref="I602:I607" si="75">F602*G602</f>
        <v>2.3413000000000004</v>
      </c>
    </row>
    <row r="603" spans="1:9" ht="28.5">
      <c r="A603" s="111" t="s">
        <v>434</v>
      </c>
      <c r="B603" s="111" t="s">
        <v>1013</v>
      </c>
      <c r="C603" s="111" t="s">
        <v>431</v>
      </c>
      <c r="D603" s="112" t="s">
        <v>1014</v>
      </c>
      <c r="E603" s="111" t="s">
        <v>520</v>
      </c>
      <c r="F603" s="113">
        <v>0.13</v>
      </c>
      <c r="G603" s="114">
        <v>22.49</v>
      </c>
      <c r="H603" s="114">
        <v>2.92</v>
      </c>
      <c r="I603" s="285">
        <f t="shared" si="75"/>
        <v>2.9236999999999997</v>
      </c>
    </row>
    <row r="604" spans="1:9" ht="28.5">
      <c r="A604" s="115" t="s">
        <v>437</v>
      </c>
      <c r="B604" s="115" t="s">
        <v>1105</v>
      </c>
      <c r="C604" s="115" t="s">
        <v>431</v>
      </c>
      <c r="D604" s="116" t="s">
        <v>1106</v>
      </c>
      <c r="E604" s="115" t="s">
        <v>8</v>
      </c>
      <c r="F604" s="117">
        <v>1</v>
      </c>
      <c r="G604" s="118">
        <v>1.66</v>
      </c>
      <c r="H604" s="118">
        <v>1.66</v>
      </c>
      <c r="I604" s="285">
        <f t="shared" si="75"/>
        <v>1.66</v>
      </c>
    </row>
    <row r="605" spans="1:9" ht="28.5">
      <c r="A605" s="115" t="s">
        <v>437</v>
      </c>
      <c r="B605" s="115" t="s">
        <v>1167</v>
      </c>
      <c r="C605" s="115" t="s">
        <v>431</v>
      </c>
      <c r="D605" s="116" t="s">
        <v>1168</v>
      </c>
      <c r="E605" s="115" t="s">
        <v>8</v>
      </c>
      <c r="F605" s="117">
        <v>1</v>
      </c>
      <c r="G605" s="118">
        <v>3.9</v>
      </c>
      <c r="H605" s="118">
        <v>3.9</v>
      </c>
      <c r="I605" s="285">
        <f t="shared" si="75"/>
        <v>3.9</v>
      </c>
    </row>
    <row r="606" spans="1:9" ht="42.75">
      <c r="A606" s="115" t="s">
        <v>437</v>
      </c>
      <c r="B606" s="115" t="s">
        <v>1109</v>
      </c>
      <c r="C606" s="115" t="s">
        <v>431</v>
      </c>
      <c r="D606" s="116" t="s">
        <v>1110</v>
      </c>
      <c r="E606" s="115" t="s">
        <v>8</v>
      </c>
      <c r="F606" s="117">
        <v>0.02</v>
      </c>
      <c r="G606" s="118">
        <v>22.86</v>
      </c>
      <c r="H606" s="118">
        <v>0.45</v>
      </c>
      <c r="I606" s="285">
        <f t="shared" si="75"/>
        <v>0.4572</v>
      </c>
    </row>
    <row r="607" spans="1:9">
      <c r="A607" s="104"/>
      <c r="B607" s="104"/>
      <c r="C607" s="104"/>
      <c r="D607" s="104"/>
      <c r="E607" s="104"/>
      <c r="F607" s="105"/>
      <c r="G607" s="106"/>
      <c r="H607" s="107"/>
      <c r="I607" s="285">
        <f t="shared" si="75"/>
        <v>0</v>
      </c>
    </row>
    <row r="608" spans="1:9">
      <c r="A608" s="108"/>
      <c r="B608" s="108"/>
      <c r="C608" s="108"/>
      <c r="D608" s="108"/>
      <c r="E608" s="108"/>
      <c r="F608" s="109"/>
      <c r="G608" s="110"/>
      <c r="H608" s="110"/>
      <c r="I608" s="285"/>
    </row>
    <row r="609" spans="1:9">
      <c r="A609" s="97" t="s">
        <v>1169</v>
      </c>
      <c r="B609" s="97" t="s">
        <v>418</v>
      </c>
      <c r="C609" s="97" t="s">
        <v>419</v>
      </c>
      <c r="D609" s="98" t="s">
        <v>420</v>
      </c>
      <c r="E609" s="97" t="s">
        <v>421</v>
      </c>
      <c r="F609" s="99" t="s">
        <v>422</v>
      </c>
      <c r="G609" s="97" t="s">
        <v>423</v>
      </c>
      <c r="H609" s="97" t="s">
        <v>424</v>
      </c>
      <c r="I609" s="285"/>
    </row>
    <row r="610" spans="1:9" ht="28.5">
      <c r="A610" s="100" t="s">
        <v>425</v>
      </c>
      <c r="B610" s="100" t="s">
        <v>1170</v>
      </c>
      <c r="C610" s="100" t="s">
        <v>431</v>
      </c>
      <c r="D610" s="101" t="s">
        <v>238</v>
      </c>
      <c r="E610" s="100" t="s">
        <v>8</v>
      </c>
      <c r="F610" s="102">
        <v>1</v>
      </c>
      <c r="G610" s="103">
        <v>10.119999999999999</v>
      </c>
      <c r="H610" s="103">
        <v>10.119999999999999</v>
      </c>
      <c r="I610" s="285">
        <f>SUM(I611:I616)</f>
        <v>10.143120000000001</v>
      </c>
    </row>
    <row r="611" spans="1:9" ht="28.5">
      <c r="A611" s="111" t="s">
        <v>434</v>
      </c>
      <c r="B611" s="111" t="s">
        <v>1025</v>
      </c>
      <c r="C611" s="111" t="s">
        <v>431</v>
      </c>
      <c r="D611" s="112" t="s">
        <v>1026</v>
      </c>
      <c r="E611" s="111" t="s">
        <v>520</v>
      </c>
      <c r="F611" s="113">
        <v>0.1</v>
      </c>
      <c r="G611" s="114">
        <v>18.010000000000002</v>
      </c>
      <c r="H611" s="114">
        <v>1.8</v>
      </c>
      <c r="I611" s="285">
        <f t="shared" ref="I611:I616" si="76">F611*G611</f>
        <v>1.8010000000000002</v>
      </c>
    </row>
    <row r="612" spans="1:9" ht="28.5">
      <c r="A612" s="111" t="s">
        <v>434</v>
      </c>
      <c r="B612" s="111" t="s">
        <v>1013</v>
      </c>
      <c r="C612" s="111" t="s">
        <v>431</v>
      </c>
      <c r="D612" s="112" t="s">
        <v>1014</v>
      </c>
      <c r="E612" s="111" t="s">
        <v>520</v>
      </c>
      <c r="F612" s="113">
        <v>0.1</v>
      </c>
      <c r="G612" s="114">
        <v>22.49</v>
      </c>
      <c r="H612" s="114">
        <v>2.2400000000000002</v>
      </c>
      <c r="I612" s="285">
        <f t="shared" si="76"/>
        <v>2.2490000000000001</v>
      </c>
    </row>
    <row r="613" spans="1:9">
      <c r="A613" s="115" t="s">
        <v>437</v>
      </c>
      <c r="B613" s="115" t="s">
        <v>1027</v>
      </c>
      <c r="C613" s="115" t="s">
        <v>431</v>
      </c>
      <c r="D613" s="116" t="s">
        <v>1028</v>
      </c>
      <c r="E613" s="115" t="s">
        <v>8</v>
      </c>
      <c r="F613" s="117">
        <v>9.9000000000000008E-3</v>
      </c>
      <c r="G613" s="118">
        <v>55.4</v>
      </c>
      <c r="H613" s="118">
        <v>0.54</v>
      </c>
      <c r="I613" s="285">
        <f t="shared" si="76"/>
        <v>0.54846000000000006</v>
      </c>
    </row>
    <row r="614" spans="1:9" ht="28.5">
      <c r="A614" s="115" t="s">
        <v>437</v>
      </c>
      <c r="B614" s="115" t="s">
        <v>1171</v>
      </c>
      <c r="C614" s="115" t="s">
        <v>431</v>
      </c>
      <c r="D614" s="116" t="s">
        <v>1172</v>
      </c>
      <c r="E614" s="115" t="s">
        <v>8</v>
      </c>
      <c r="F614" s="117">
        <v>1</v>
      </c>
      <c r="G614" s="118">
        <v>4.5599999999999996</v>
      </c>
      <c r="H614" s="118">
        <v>4.5599999999999996</v>
      </c>
      <c r="I614" s="285">
        <f t="shared" si="76"/>
        <v>4.5599999999999996</v>
      </c>
    </row>
    <row r="615" spans="1:9">
      <c r="A615" s="115" t="s">
        <v>437</v>
      </c>
      <c r="B615" s="115" t="s">
        <v>1029</v>
      </c>
      <c r="C615" s="115" t="s">
        <v>431</v>
      </c>
      <c r="D615" s="116" t="s">
        <v>1030</v>
      </c>
      <c r="E615" s="115" t="s">
        <v>8</v>
      </c>
      <c r="F615" s="117">
        <v>2.1000000000000001E-2</v>
      </c>
      <c r="G615" s="118">
        <v>2.06</v>
      </c>
      <c r="H615" s="118">
        <v>0.04</v>
      </c>
      <c r="I615" s="285">
        <f t="shared" si="76"/>
        <v>4.3260000000000007E-2</v>
      </c>
    </row>
    <row r="616" spans="1:9" ht="28.5">
      <c r="A616" s="115" t="s">
        <v>437</v>
      </c>
      <c r="B616" s="115" t="s">
        <v>1031</v>
      </c>
      <c r="C616" s="115" t="s">
        <v>431</v>
      </c>
      <c r="D616" s="116" t="s">
        <v>1032</v>
      </c>
      <c r="E616" s="115" t="s">
        <v>8</v>
      </c>
      <c r="F616" s="117">
        <v>1.4999999999999999E-2</v>
      </c>
      <c r="G616" s="118">
        <v>62.76</v>
      </c>
      <c r="H616" s="118">
        <v>0.94</v>
      </c>
      <c r="I616" s="285">
        <f t="shared" si="76"/>
        <v>0.9413999999999999</v>
      </c>
    </row>
    <row r="617" spans="1:9">
      <c r="A617" s="104"/>
      <c r="B617" s="104"/>
      <c r="C617" s="104"/>
      <c r="D617" s="104"/>
      <c r="E617" s="104"/>
      <c r="F617" s="105"/>
      <c r="G617" s="106"/>
      <c r="H617" s="107"/>
      <c r="I617" s="285"/>
    </row>
    <row r="618" spans="1:9">
      <c r="A618" s="108"/>
      <c r="B618" s="108"/>
      <c r="C618" s="108"/>
      <c r="D618" s="108"/>
      <c r="E618" s="108"/>
      <c r="F618" s="109"/>
      <c r="G618" s="110"/>
      <c r="H618" s="110"/>
      <c r="I618" s="285"/>
    </row>
    <row r="619" spans="1:9">
      <c r="A619" s="97" t="s">
        <v>1173</v>
      </c>
      <c r="B619" s="97" t="s">
        <v>418</v>
      </c>
      <c r="C619" s="97" t="s">
        <v>419</v>
      </c>
      <c r="D619" s="98" t="s">
        <v>420</v>
      </c>
      <c r="E619" s="97" t="s">
        <v>421</v>
      </c>
      <c r="F619" s="99" t="s">
        <v>422</v>
      </c>
      <c r="G619" s="97" t="s">
        <v>423</v>
      </c>
      <c r="H619" s="97" t="s">
        <v>424</v>
      </c>
      <c r="I619" s="285"/>
    </row>
    <row r="620" spans="1:9" ht="28.5">
      <c r="A620" s="100" t="s">
        <v>425</v>
      </c>
      <c r="B620" s="100" t="s">
        <v>1174</v>
      </c>
      <c r="C620" s="100" t="s">
        <v>431</v>
      </c>
      <c r="D620" s="101" t="s">
        <v>240</v>
      </c>
      <c r="E620" s="100" t="s">
        <v>8</v>
      </c>
      <c r="F620" s="102">
        <v>1</v>
      </c>
      <c r="G620" s="103">
        <v>6.85</v>
      </c>
      <c r="H620" s="103">
        <v>6.85</v>
      </c>
      <c r="I620" s="285">
        <f>SUM(I621:I626)</f>
        <v>6.8672000000000004</v>
      </c>
    </row>
    <row r="621" spans="1:9" ht="28.5">
      <c r="A621" s="111" t="s">
        <v>434</v>
      </c>
      <c r="B621" s="111" t="s">
        <v>1025</v>
      </c>
      <c r="C621" s="111" t="s">
        <v>431</v>
      </c>
      <c r="D621" s="112" t="s">
        <v>1026</v>
      </c>
      <c r="E621" s="111" t="s">
        <v>520</v>
      </c>
      <c r="F621" s="113">
        <v>0.04</v>
      </c>
      <c r="G621" s="114">
        <v>18.010000000000002</v>
      </c>
      <c r="H621" s="114">
        <v>0.72</v>
      </c>
      <c r="I621" s="285">
        <f t="shared" ref="I621:I626" si="77">F621*G621</f>
        <v>0.72040000000000004</v>
      </c>
    </row>
    <row r="622" spans="1:9" ht="28.5">
      <c r="A622" s="111" t="s">
        <v>434</v>
      </c>
      <c r="B622" s="111" t="s">
        <v>1013</v>
      </c>
      <c r="C622" s="111" t="s">
        <v>431</v>
      </c>
      <c r="D622" s="112" t="s">
        <v>1014</v>
      </c>
      <c r="E622" s="111" t="s">
        <v>520</v>
      </c>
      <c r="F622" s="113">
        <v>0.04</v>
      </c>
      <c r="G622" s="114">
        <v>22.49</v>
      </c>
      <c r="H622" s="114">
        <v>0.89</v>
      </c>
      <c r="I622" s="285">
        <f t="shared" si="77"/>
        <v>0.89959999999999996</v>
      </c>
    </row>
    <row r="623" spans="1:9" ht="28.5">
      <c r="A623" s="115" t="s">
        <v>437</v>
      </c>
      <c r="B623" s="115" t="s">
        <v>1105</v>
      </c>
      <c r="C623" s="115" t="s">
        <v>431</v>
      </c>
      <c r="D623" s="116" t="s">
        <v>1106</v>
      </c>
      <c r="E623" s="115" t="s">
        <v>8</v>
      </c>
      <c r="F623" s="117">
        <v>1</v>
      </c>
      <c r="G623" s="118">
        <v>1.66</v>
      </c>
      <c r="H623" s="118">
        <v>1.66</v>
      </c>
      <c r="I623" s="285">
        <f t="shared" si="77"/>
        <v>1.66</v>
      </c>
    </row>
    <row r="624" spans="1:9" ht="28.5">
      <c r="A624" s="115" t="s">
        <v>437</v>
      </c>
      <c r="B624" s="115" t="s">
        <v>1175</v>
      </c>
      <c r="C624" s="115" t="s">
        <v>431</v>
      </c>
      <c r="D624" s="116" t="s">
        <v>1176</v>
      </c>
      <c r="E624" s="115" t="s">
        <v>8</v>
      </c>
      <c r="F624" s="117">
        <v>1</v>
      </c>
      <c r="G624" s="118">
        <v>3.13</v>
      </c>
      <c r="H624" s="118">
        <v>3.13</v>
      </c>
      <c r="I624" s="285">
        <f t="shared" si="77"/>
        <v>3.13</v>
      </c>
    </row>
    <row r="625" spans="1:9" ht="42.75">
      <c r="A625" s="115" t="s">
        <v>437</v>
      </c>
      <c r="B625" s="115" t="s">
        <v>1109</v>
      </c>
      <c r="C625" s="115" t="s">
        <v>431</v>
      </c>
      <c r="D625" s="116" t="s">
        <v>1110</v>
      </c>
      <c r="E625" s="115" t="s">
        <v>8</v>
      </c>
      <c r="F625" s="117">
        <v>0.02</v>
      </c>
      <c r="G625" s="118">
        <v>22.86</v>
      </c>
      <c r="H625" s="118">
        <v>0.45</v>
      </c>
      <c r="I625" s="285">
        <f t="shared" si="77"/>
        <v>0.4572</v>
      </c>
    </row>
    <row r="626" spans="1:9">
      <c r="A626" s="104"/>
      <c r="B626" s="104"/>
      <c r="C626" s="104"/>
      <c r="D626" s="104"/>
      <c r="E626" s="104"/>
      <c r="F626" s="105"/>
      <c r="G626" s="106"/>
      <c r="H626" s="107"/>
      <c r="I626" s="285">
        <f t="shared" si="77"/>
        <v>0</v>
      </c>
    </row>
    <row r="627" spans="1:9">
      <c r="A627" s="108"/>
      <c r="B627" s="108"/>
      <c r="C627" s="108"/>
      <c r="D627" s="108"/>
      <c r="E627" s="108"/>
      <c r="F627" s="109"/>
      <c r="G627" s="110"/>
      <c r="H627" s="110"/>
      <c r="I627" s="285"/>
    </row>
    <row r="628" spans="1:9">
      <c r="A628" s="97" t="s">
        <v>1177</v>
      </c>
      <c r="B628" s="97" t="s">
        <v>418</v>
      </c>
      <c r="C628" s="97" t="s">
        <v>419</v>
      </c>
      <c r="D628" s="98" t="s">
        <v>420</v>
      </c>
      <c r="E628" s="97" t="s">
        <v>421</v>
      </c>
      <c r="F628" s="99" t="s">
        <v>422</v>
      </c>
      <c r="G628" s="97" t="s">
        <v>423</v>
      </c>
      <c r="H628" s="97" t="s">
        <v>424</v>
      </c>
      <c r="I628" s="285"/>
    </row>
    <row r="629" spans="1:9" ht="28.5">
      <c r="A629" s="100" t="s">
        <v>425</v>
      </c>
      <c r="B629" s="100" t="s">
        <v>1178</v>
      </c>
      <c r="C629" s="100" t="s">
        <v>431</v>
      </c>
      <c r="D629" s="101" t="s">
        <v>242</v>
      </c>
      <c r="E629" s="100" t="s">
        <v>8</v>
      </c>
      <c r="F629" s="102">
        <v>1</v>
      </c>
      <c r="G629" s="103">
        <v>17.68</v>
      </c>
      <c r="H629" s="103">
        <v>17.68</v>
      </c>
      <c r="I629" s="285">
        <f>SUM(I630:I635)</f>
        <v>17.694400000000002</v>
      </c>
    </row>
    <row r="630" spans="1:9" ht="28.5">
      <c r="A630" s="111" t="s">
        <v>434</v>
      </c>
      <c r="B630" s="111" t="s">
        <v>1025</v>
      </c>
      <c r="C630" s="111" t="s">
        <v>431</v>
      </c>
      <c r="D630" s="112" t="s">
        <v>1026</v>
      </c>
      <c r="E630" s="111" t="s">
        <v>520</v>
      </c>
      <c r="F630" s="113">
        <v>0.06</v>
      </c>
      <c r="G630" s="114">
        <v>18.010000000000002</v>
      </c>
      <c r="H630" s="114">
        <v>1.08</v>
      </c>
      <c r="I630" s="285">
        <f t="shared" ref="I630:I635" si="78">F630*G630</f>
        <v>1.0806</v>
      </c>
    </row>
    <row r="631" spans="1:9" ht="28.5">
      <c r="A631" s="111" t="s">
        <v>434</v>
      </c>
      <c r="B631" s="111" t="s">
        <v>1013</v>
      </c>
      <c r="C631" s="111" t="s">
        <v>431</v>
      </c>
      <c r="D631" s="112" t="s">
        <v>1014</v>
      </c>
      <c r="E631" s="111" t="s">
        <v>520</v>
      </c>
      <c r="F631" s="113">
        <v>0.06</v>
      </c>
      <c r="G631" s="114">
        <v>22.49</v>
      </c>
      <c r="H631" s="114">
        <v>1.34</v>
      </c>
      <c r="I631" s="285">
        <f t="shared" si="78"/>
        <v>1.3493999999999999</v>
      </c>
    </row>
    <row r="632" spans="1:9" ht="28.5">
      <c r="A632" s="115" t="s">
        <v>437</v>
      </c>
      <c r="B632" s="115" t="s">
        <v>1105</v>
      </c>
      <c r="C632" s="115" t="s">
        <v>431</v>
      </c>
      <c r="D632" s="116" t="s">
        <v>1106</v>
      </c>
      <c r="E632" s="115" t="s">
        <v>8</v>
      </c>
      <c r="F632" s="117">
        <v>2</v>
      </c>
      <c r="G632" s="118">
        <v>1.66</v>
      </c>
      <c r="H632" s="118">
        <v>3.32</v>
      </c>
      <c r="I632" s="285">
        <f t="shared" si="78"/>
        <v>3.32</v>
      </c>
    </row>
    <row r="633" spans="1:9" ht="28.5">
      <c r="A633" s="115" t="s">
        <v>437</v>
      </c>
      <c r="B633" s="115" t="s">
        <v>1179</v>
      </c>
      <c r="C633" s="115" t="s">
        <v>431</v>
      </c>
      <c r="D633" s="116" t="s">
        <v>1180</v>
      </c>
      <c r="E633" s="115" t="s">
        <v>8</v>
      </c>
      <c r="F633" s="117">
        <v>1</v>
      </c>
      <c r="G633" s="118">
        <v>11.03</v>
      </c>
      <c r="H633" s="118">
        <v>11.03</v>
      </c>
      <c r="I633" s="285">
        <f t="shared" si="78"/>
        <v>11.03</v>
      </c>
    </row>
    <row r="634" spans="1:9" ht="42.75">
      <c r="A634" s="115" t="s">
        <v>437</v>
      </c>
      <c r="B634" s="115" t="s">
        <v>1109</v>
      </c>
      <c r="C634" s="115" t="s">
        <v>431</v>
      </c>
      <c r="D634" s="116" t="s">
        <v>1110</v>
      </c>
      <c r="E634" s="115" t="s">
        <v>8</v>
      </c>
      <c r="F634" s="117">
        <v>0.04</v>
      </c>
      <c r="G634" s="118">
        <v>22.86</v>
      </c>
      <c r="H634" s="118">
        <v>0.91</v>
      </c>
      <c r="I634" s="285">
        <f t="shared" si="78"/>
        <v>0.91439999999999999</v>
      </c>
    </row>
    <row r="635" spans="1:9">
      <c r="A635" s="104"/>
      <c r="B635" s="104"/>
      <c r="C635" s="104"/>
      <c r="D635" s="104"/>
      <c r="E635" s="104"/>
      <c r="F635" s="105"/>
      <c r="G635" s="106"/>
      <c r="H635" s="107"/>
      <c r="I635" s="285">
        <f t="shared" si="78"/>
        <v>0</v>
      </c>
    </row>
    <row r="636" spans="1:9">
      <c r="A636" s="108"/>
      <c r="B636" s="108"/>
      <c r="C636" s="108"/>
      <c r="D636" s="108"/>
      <c r="E636" s="108"/>
      <c r="F636" s="109"/>
      <c r="G636" s="110"/>
      <c r="H636" s="110"/>
      <c r="I636" s="285"/>
    </row>
    <row r="637" spans="1:9">
      <c r="A637" s="97" t="s">
        <v>1181</v>
      </c>
      <c r="B637" s="97" t="s">
        <v>418</v>
      </c>
      <c r="C637" s="97" t="s">
        <v>419</v>
      </c>
      <c r="D637" s="98" t="s">
        <v>420</v>
      </c>
      <c r="E637" s="97" t="s">
        <v>421</v>
      </c>
      <c r="F637" s="99" t="s">
        <v>422</v>
      </c>
      <c r="G637" s="97" t="s">
        <v>423</v>
      </c>
      <c r="H637" s="97" t="s">
        <v>424</v>
      </c>
      <c r="I637" s="285"/>
    </row>
    <row r="638" spans="1:9" ht="28.5">
      <c r="A638" s="100" t="s">
        <v>425</v>
      </c>
      <c r="B638" s="100" t="s">
        <v>1182</v>
      </c>
      <c r="C638" s="100" t="s">
        <v>431</v>
      </c>
      <c r="D638" s="101" t="s">
        <v>1183</v>
      </c>
      <c r="E638" s="100" t="s">
        <v>8</v>
      </c>
      <c r="F638" s="102">
        <v>1</v>
      </c>
      <c r="G638" s="103">
        <v>5.97</v>
      </c>
      <c r="H638" s="103">
        <v>5.97</v>
      </c>
      <c r="I638" s="285">
        <f>SUM(I639:I644)</f>
        <v>5.9848599999999994</v>
      </c>
    </row>
    <row r="639" spans="1:9" ht="28.5">
      <c r="A639" s="111" t="s">
        <v>434</v>
      </c>
      <c r="B639" s="111" t="s">
        <v>1025</v>
      </c>
      <c r="C639" s="111" t="s">
        <v>431</v>
      </c>
      <c r="D639" s="112" t="s">
        <v>1026</v>
      </c>
      <c r="E639" s="111" t="s">
        <v>520</v>
      </c>
      <c r="F639" s="113">
        <v>7.0000000000000007E-2</v>
      </c>
      <c r="G639" s="114">
        <v>18.010000000000002</v>
      </c>
      <c r="H639" s="114">
        <v>1.26</v>
      </c>
      <c r="I639" s="285">
        <f t="shared" ref="I639:I644" si="79">F639*G639</f>
        <v>1.2607000000000002</v>
      </c>
    </row>
    <row r="640" spans="1:9" ht="28.5">
      <c r="A640" s="111" t="s">
        <v>434</v>
      </c>
      <c r="B640" s="111" t="s">
        <v>1013</v>
      </c>
      <c r="C640" s="111" t="s">
        <v>431</v>
      </c>
      <c r="D640" s="112" t="s">
        <v>1014</v>
      </c>
      <c r="E640" s="111" t="s">
        <v>520</v>
      </c>
      <c r="F640" s="113">
        <v>7.0000000000000007E-2</v>
      </c>
      <c r="G640" s="114">
        <v>22.49</v>
      </c>
      <c r="H640" s="114">
        <v>1.57</v>
      </c>
      <c r="I640" s="285">
        <f t="shared" si="79"/>
        <v>1.5743</v>
      </c>
    </row>
    <row r="641" spans="1:9">
      <c r="A641" s="115" t="s">
        <v>437</v>
      </c>
      <c r="B641" s="115" t="s">
        <v>1027</v>
      </c>
      <c r="C641" s="115" t="s">
        <v>431</v>
      </c>
      <c r="D641" s="116" t="s">
        <v>1028</v>
      </c>
      <c r="E641" s="115" t="s">
        <v>8</v>
      </c>
      <c r="F641" s="117">
        <v>9.9000000000000008E-3</v>
      </c>
      <c r="G641" s="118">
        <v>55.4</v>
      </c>
      <c r="H641" s="118">
        <v>0.54</v>
      </c>
      <c r="I641" s="285">
        <f t="shared" si="79"/>
        <v>0.54846000000000006</v>
      </c>
    </row>
    <row r="642" spans="1:9" ht="28.5">
      <c r="A642" s="115" t="s">
        <v>437</v>
      </c>
      <c r="B642" s="115" t="s">
        <v>1184</v>
      </c>
      <c r="C642" s="115" t="s">
        <v>431</v>
      </c>
      <c r="D642" s="116" t="s">
        <v>1185</v>
      </c>
      <c r="E642" s="115" t="s">
        <v>8</v>
      </c>
      <c r="F642" s="117">
        <v>1</v>
      </c>
      <c r="G642" s="118">
        <v>1.66</v>
      </c>
      <c r="H642" s="118">
        <v>1.66</v>
      </c>
      <c r="I642" s="285">
        <f t="shared" si="79"/>
        <v>1.66</v>
      </c>
    </row>
    <row r="643" spans="1:9" ht="28.5">
      <c r="A643" s="115" t="s">
        <v>437</v>
      </c>
      <c r="B643" s="115" t="s">
        <v>1031</v>
      </c>
      <c r="C643" s="115" t="s">
        <v>431</v>
      </c>
      <c r="D643" s="116" t="s">
        <v>1032</v>
      </c>
      <c r="E643" s="115" t="s">
        <v>8</v>
      </c>
      <c r="F643" s="117">
        <v>1.4999999999999999E-2</v>
      </c>
      <c r="G643" s="118">
        <v>62.76</v>
      </c>
      <c r="H643" s="118">
        <v>0.94</v>
      </c>
      <c r="I643" s="285">
        <f t="shared" si="79"/>
        <v>0.9413999999999999</v>
      </c>
    </row>
    <row r="644" spans="1:9">
      <c r="A644" s="104"/>
      <c r="B644" s="104"/>
      <c r="C644" s="104"/>
      <c r="D644" s="104"/>
      <c r="E644" s="104"/>
      <c r="F644" s="105"/>
      <c r="G644" s="106"/>
      <c r="H644" s="107"/>
      <c r="I644" s="285">
        <f t="shared" si="79"/>
        <v>0</v>
      </c>
    </row>
    <row r="645" spans="1:9">
      <c r="A645" s="108"/>
      <c r="B645" s="108"/>
      <c r="C645" s="108"/>
      <c r="D645" s="108"/>
      <c r="E645" s="108"/>
      <c r="F645" s="109"/>
      <c r="G645" s="110"/>
      <c r="H645" s="110"/>
      <c r="I645" s="285"/>
    </row>
    <row r="646" spans="1:9">
      <c r="A646" s="97" t="s">
        <v>1186</v>
      </c>
      <c r="B646" s="97" t="s">
        <v>418</v>
      </c>
      <c r="C646" s="97" t="s">
        <v>419</v>
      </c>
      <c r="D646" s="98" t="s">
        <v>420</v>
      </c>
      <c r="E646" s="97" t="s">
        <v>421</v>
      </c>
      <c r="F646" s="99" t="s">
        <v>422</v>
      </c>
      <c r="G646" s="97" t="s">
        <v>423</v>
      </c>
      <c r="H646" s="97" t="s">
        <v>424</v>
      </c>
      <c r="I646" s="285"/>
    </row>
    <row r="647" spans="1:9" ht="28.5">
      <c r="A647" s="100" t="s">
        <v>425</v>
      </c>
      <c r="B647" s="100" t="s">
        <v>1187</v>
      </c>
      <c r="C647" s="100" t="s">
        <v>431</v>
      </c>
      <c r="D647" s="101" t="s">
        <v>1188</v>
      </c>
      <c r="E647" s="100" t="s">
        <v>8</v>
      </c>
      <c r="F647" s="102">
        <v>1</v>
      </c>
      <c r="G647" s="103">
        <v>6.92</v>
      </c>
      <c r="H647" s="103">
        <v>6.92</v>
      </c>
      <c r="I647" s="285">
        <f>SUM(I648:I653)</f>
        <v>6.9321999999999999</v>
      </c>
    </row>
    <row r="648" spans="1:9" ht="28.5">
      <c r="A648" s="111" t="s">
        <v>434</v>
      </c>
      <c r="B648" s="111" t="s">
        <v>1025</v>
      </c>
      <c r="C648" s="111" t="s">
        <v>431</v>
      </c>
      <c r="D648" s="112" t="s">
        <v>1026</v>
      </c>
      <c r="E648" s="111" t="s">
        <v>520</v>
      </c>
      <c r="F648" s="113">
        <v>0.03</v>
      </c>
      <c r="G648" s="114">
        <v>18.010000000000002</v>
      </c>
      <c r="H648" s="114">
        <v>0.54</v>
      </c>
      <c r="I648" s="285">
        <f t="shared" ref="I648:I653" si="80">F648*G648</f>
        <v>0.5403</v>
      </c>
    </row>
    <row r="649" spans="1:9" ht="28.5">
      <c r="A649" s="111" t="s">
        <v>434</v>
      </c>
      <c r="B649" s="111" t="s">
        <v>1013</v>
      </c>
      <c r="C649" s="111" t="s">
        <v>431</v>
      </c>
      <c r="D649" s="112" t="s">
        <v>1014</v>
      </c>
      <c r="E649" s="111" t="s">
        <v>520</v>
      </c>
      <c r="F649" s="113">
        <v>0.03</v>
      </c>
      <c r="G649" s="114">
        <v>22.49</v>
      </c>
      <c r="H649" s="114">
        <v>0.67</v>
      </c>
      <c r="I649" s="285">
        <f t="shared" si="80"/>
        <v>0.67469999999999997</v>
      </c>
    </row>
    <row r="650" spans="1:9" ht="28.5">
      <c r="A650" s="115" t="s">
        <v>437</v>
      </c>
      <c r="B650" s="115" t="s">
        <v>1105</v>
      </c>
      <c r="C650" s="115" t="s">
        <v>431</v>
      </c>
      <c r="D650" s="116" t="s">
        <v>1106</v>
      </c>
      <c r="E650" s="115" t="s">
        <v>8</v>
      </c>
      <c r="F650" s="117">
        <v>1</v>
      </c>
      <c r="G650" s="118">
        <v>1.66</v>
      </c>
      <c r="H650" s="118">
        <v>1.66</v>
      </c>
      <c r="I650" s="285">
        <f t="shared" si="80"/>
        <v>1.66</v>
      </c>
    </row>
    <row r="651" spans="1:9" ht="28.5">
      <c r="A651" s="115" t="s">
        <v>437</v>
      </c>
      <c r="B651" s="115" t="s">
        <v>1189</v>
      </c>
      <c r="C651" s="115" t="s">
        <v>431</v>
      </c>
      <c r="D651" s="116" t="s">
        <v>1190</v>
      </c>
      <c r="E651" s="115" t="s">
        <v>8</v>
      </c>
      <c r="F651" s="117">
        <v>1</v>
      </c>
      <c r="G651" s="118">
        <v>3.6</v>
      </c>
      <c r="H651" s="118">
        <v>3.6</v>
      </c>
      <c r="I651" s="285">
        <f t="shared" si="80"/>
        <v>3.6</v>
      </c>
    </row>
    <row r="652" spans="1:9" ht="42.75">
      <c r="A652" s="115" t="s">
        <v>437</v>
      </c>
      <c r="B652" s="115" t="s">
        <v>1109</v>
      </c>
      <c r="C652" s="115" t="s">
        <v>431</v>
      </c>
      <c r="D652" s="116" t="s">
        <v>1110</v>
      </c>
      <c r="E652" s="115" t="s">
        <v>8</v>
      </c>
      <c r="F652" s="117">
        <v>0.02</v>
      </c>
      <c r="G652" s="118">
        <v>22.86</v>
      </c>
      <c r="H652" s="118">
        <v>0.45</v>
      </c>
      <c r="I652" s="285">
        <f t="shared" si="80"/>
        <v>0.4572</v>
      </c>
    </row>
    <row r="653" spans="1:9">
      <c r="A653" s="104"/>
      <c r="B653" s="104"/>
      <c r="C653" s="104"/>
      <c r="D653" s="104"/>
      <c r="E653" s="104"/>
      <c r="F653" s="105"/>
      <c r="G653" s="106"/>
      <c r="H653" s="107"/>
      <c r="I653" s="285">
        <f t="shared" si="80"/>
        <v>0</v>
      </c>
    </row>
    <row r="654" spans="1:9">
      <c r="A654" s="108"/>
      <c r="B654" s="108"/>
      <c r="C654" s="108"/>
      <c r="D654" s="108"/>
      <c r="E654" s="108"/>
      <c r="F654" s="109"/>
      <c r="G654" s="110"/>
      <c r="H654" s="110"/>
      <c r="I654" s="285"/>
    </row>
    <row r="655" spans="1:9">
      <c r="A655" s="97" t="s">
        <v>1191</v>
      </c>
      <c r="B655" s="97" t="s">
        <v>418</v>
      </c>
      <c r="C655" s="97" t="s">
        <v>419</v>
      </c>
      <c r="D655" s="98" t="s">
        <v>420</v>
      </c>
      <c r="E655" s="97" t="s">
        <v>421</v>
      </c>
      <c r="F655" s="99" t="s">
        <v>422</v>
      </c>
      <c r="G655" s="97" t="s">
        <v>423</v>
      </c>
      <c r="H655" s="97" t="s">
        <v>424</v>
      </c>
      <c r="I655" s="285"/>
    </row>
    <row r="656" spans="1:9" ht="28.5">
      <c r="A656" s="100" t="s">
        <v>425</v>
      </c>
      <c r="B656" s="100" t="s">
        <v>1192</v>
      </c>
      <c r="C656" s="100" t="s">
        <v>431</v>
      </c>
      <c r="D656" s="101" t="s">
        <v>248</v>
      </c>
      <c r="E656" s="100" t="s">
        <v>8</v>
      </c>
      <c r="F656" s="102">
        <v>1</v>
      </c>
      <c r="G656" s="103">
        <v>54.89</v>
      </c>
      <c r="H656" s="103">
        <v>54.89</v>
      </c>
      <c r="I656" s="285">
        <f>SUM(I657:I662)</f>
        <v>54.912725999999999</v>
      </c>
    </row>
    <row r="657" spans="1:9" ht="28.5">
      <c r="A657" s="111" t="s">
        <v>434</v>
      </c>
      <c r="B657" s="111" t="s">
        <v>1025</v>
      </c>
      <c r="C657" s="111" t="s">
        <v>431</v>
      </c>
      <c r="D657" s="112" t="s">
        <v>1026</v>
      </c>
      <c r="E657" s="111" t="s">
        <v>520</v>
      </c>
      <c r="F657" s="113">
        <v>0.1133</v>
      </c>
      <c r="G657" s="114">
        <v>18.010000000000002</v>
      </c>
      <c r="H657" s="114">
        <v>2.04</v>
      </c>
      <c r="I657" s="285">
        <f t="shared" ref="I657:I662" si="81">F657*G657</f>
        <v>2.0405329999999999</v>
      </c>
    </row>
    <row r="658" spans="1:9" ht="28.5">
      <c r="A658" s="111" t="s">
        <v>434</v>
      </c>
      <c r="B658" s="111" t="s">
        <v>1013</v>
      </c>
      <c r="C658" s="111" t="s">
        <v>431</v>
      </c>
      <c r="D658" s="112" t="s">
        <v>1014</v>
      </c>
      <c r="E658" s="111" t="s">
        <v>520</v>
      </c>
      <c r="F658" s="113">
        <v>0.1133</v>
      </c>
      <c r="G658" s="114">
        <v>22.49</v>
      </c>
      <c r="H658" s="114">
        <v>2.54</v>
      </c>
      <c r="I658" s="285">
        <f t="shared" si="81"/>
        <v>2.548117</v>
      </c>
    </row>
    <row r="659" spans="1:9">
      <c r="A659" s="115" t="s">
        <v>437</v>
      </c>
      <c r="B659" s="115" t="s">
        <v>1193</v>
      </c>
      <c r="C659" s="115" t="s">
        <v>431</v>
      </c>
      <c r="D659" s="116" t="s">
        <v>1194</v>
      </c>
      <c r="E659" s="115" t="s">
        <v>8</v>
      </c>
      <c r="F659" s="117">
        <v>7.1400000000000005E-2</v>
      </c>
      <c r="G659" s="118">
        <v>18.079999999999998</v>
      </c>
      <c r="H659" s="118">
        <v>1.29</v>
      </c>
      <c r="I659" s="285">
        <f t="shared" si="81"/>
        <v>1.2909120000000001</v>
      </c>
    </row>
    <row r="660" spans="1:9">
      <c r="A660" s="115" t="s">
        <v>437</v>
      </c>
      <c r="B660" s="115" t="s">
        <v>1029</v>
      </c>
      <c r="C660" s="115" t="s">
        <v>431</v>
      </c>
      <c r="D660" s="116" t="s">
        <v>1030</v>
      </c>
      <c r="E660" s="115" t="s">
        <v>8</v>
      </c>
      <c r="F660" s="117">
        <v>1.14E-2</v>
      </c>
      <c r="G660" s="118">
        <v>2.06</v>
      </c>
      <c r="H660" s="118">
        <v>0.02</v>
      </c>
      <c r="I660" s="285">
        <f t="shared" si="81"/>
        <v>2.3484000000000001E-2</v>
      </c>
    </row>
    <row r="661" spans="1:9" ht="28.5">
      <c r="A661" s="115" t="s">
        <v>437</v>
      </c>
      <c r="B661" s="115" t="s">
        <v>1195</v>
      </c>
      <c r="C661" s="115" t="s">
        <v>431</v>
      </c>
      <c r="D661" s="116" t="s">
        <v>1196</v>
      </c>
      <c r="E661" s="115" t="s">
        <v>8</v>
      </c>
      <c r="F661" s="117">
        <v>1</v>
      </c>
      <c r="G661" s="118">
        <v>47.88</v>
      </c>
      <c r="H661" s="118">
        <v>47.88</v>
      </c>
      <c r="I661" s="285">
        <f t="shared" si="81"/>
        <v>47.88</v>
      </c>
    </row>
    <row r="662" spans="1:9" ht="28.5">
      <c r="A662" s="115" t="s">
        <v>437</v>
      </c>
      <c r="B662" s="115" t="s">
        <v>1031</v>
      </c>
      <c r="C662" s="115" t="s">
        <v>431</v>
      </c>
      <c r="D662" s="116" t="s">
        <v>1032</v>
      </c>
      <c r="E662" s="115" t="s">
        <v>8</v>
      </c>
      <c r="F662" s="117">
        <v>1.7999999999999999E-2</v>
      </c>
      <c r="G662" s="118">
        <v>62.76</v>
      </c>
      <c r="H662" s="118">
        <v>1.1200000000000001</v>
      </c>
      <c r="I662" s="285">
        <f t="shared" si="81"/>
        <v>1.1296799999999998</v>
      </c>
    </row>
    <row r="663" spans="1:9">
      <c r="A663" s="104"/>
      <c r="B663" s="104"/>
      <c r="C663" s="104"/>
      <c r="D663" s="104"/>
      <c r="E663" s="104"/>
      <c r="F663" s="105"/>
      <c r="G663" s="106"/>
      <c r="H663" s="107"/>
      <c r="I663" s="285"/>
    </row>
    <row r="664" spans="1:9">
      <c r="A664" s="108"/>
      <c r="B664" s="108"/>
      <c r="C664" s="108"/>
      <c r="D664" s="108"/>
      <c r="E664" s="108"/>
      <c r="F664" s="109"/>
      <c r="G664" s="110"/>
      <c r="H664" s="110"/>
      <c r="I664" s="285"/>
    </row>
    <row r="665" spans="1:9">
      <c r="A665" s="97" t="s">
        <v>1197</v>
      </c>
      <c r="B665" s="97" t="s">
        <v>418</v>
      </c>
      <c r="C665" s="97" t="s">
        <v>419</v>
      </c>
      <c r="D665" s="98" t="s">
        <v>420</v>
      </c>
      <c r="E665" s="97" t="s">
        <v>421</v>
      </c>
      <c r="F665" s="99" t="s">
        <v>422</v>
      </c>
      <c r="G665" s="97" t="s">
        <v>423</v>
      </c>
      <c r="H665" s="97" t="s">
        <v>424</v>
      </c>
      <c r="I665" s="285"/>
    </row>
    <row r="666" spans="1:9" ht="42.75">
      <c r="A666" s="100" t="s">
        <v>425</v>
      </c>
      <c r="B666" s="100" t="s">
        <v>1198</v>
      </c>
      <c r="C666" s="100" t="s">
        <v>431</v>
      </c>
      <c r="D666" s="101" t="s">
        <v>250</v>
      </c>
      <c r="E666" s="100" t="s">
        <v>31</v>
      </c>
      <c r="F666" s="102">
        <v>1</v>
      </c>
      <c r="G666" s="103">
        <v>43.77</v>
      </c>
      <c r="H666" s="103">
        <v>43.77</v>
      </c>
      <c r="I666" s="285">
        <f>SUM(I667:I672)</f>
        <v>43.807360000000003</v>
      </c>
    </row>
    <row r="667" spans="1:9" ht="28.5">
      <c r="A667" s="111" t="s">
        <v>434</v>
      </c>
      <c r="B667" s="111" t="s">
        <v>1025</v>
      </c>
      <c r="C667" s="111" t="s">
        <v>431</v>
      </c>
      <c r="D667" s="112" t="s">
        <v>1026</v>
      </c>
      <c r="E667" s="111" t="s">
        <v>520</v>
      </c>
      <c r="F667" s="113">
        <v>0.56000000000000005</v>
      </c>
      <c r="G667" s="114">
        <v>18.010000000000002</v>
      </c>
      <c r="H667" s="114">
        <v>10.08</v>
      </c>
      <c r="I667" s="285">
        <f t="shared" ref="I667:I672" si="82">F667*G667</f>
        <v>10.085600000000001</v>
      </c>
    </row>
    <row r="668" spans="1:9" ht="28.5">
      <c r="A668" s="111" t="s">
        <v>434</v>
      </c>
      <c r="B668" s="111" t="s">
        <v>1013</v>
      </c>
      <c r="C668" s="111" t="s">
        <v>431</v>
      </c>
      <c r="D668" s="112" t="s">
        <v>1014</v>
      </c>
      <c r="E668" s="111" t="s">
        <v>520</v>
      </c>
      <c r="F668" s="113">
        <v>0.56000000000000005</v>
      </c>
      <c r="G668" s="114">
        <v>22.49</v>
      </c>
      <c r="H668" s="114">
        <v>12.59</v>
      </c>
      <c r="I668" s="285">
        <f t="shared" si="82"/>
        <v>12.5944</v>
      </c>
    </row>
    <row r="669" spans="1:9">
      <c r="A669" s="115" t="s">
        <v>437</v>
      </c>
      <c r="B669" s="115" t="s">
        <v>1027</v>
      </c>
      <c r="C669" s="115" t="s">
        <v>431</v>
      </c>
      <c r="D669" s="116" t="s">
        <v>1028</v>
      </c>
      <c r="E669" s="115" t="s">
        <v>8</v>
      </c>
      <c r="F669" s="117">
        <v>2.47E-2</v>
      </c>
      <c r="G669" s="118">
        <v>55.4</v>
      </c>
      <c r="H669" s="118">
        <v>1.36</v>
      </c>
      <c r="I669" s="285">
        <f t="shared" si="82"/>
        <v>1.3683799999999999</v>
      </c>
    </row>
    <row r="670" spans="1:9">
      <c r="A670" s="115" t="s">
        <v>437</v>
      </c>
      <c r="B670" s="115" t="s">
        <v>1029</v>
      </c>
      <c r="C670" s="115" t="s">
        <v>431</v>
      </c>
      <c r="D670" s="116" t="s">
        <v>1030</v>
      </c>
      <c r="E670" s="115" t="s">
        <v>8</v>
      </c>
      <c r="F670" s="117">
        <v>0.187</v>
      </c>
      <c r="G670" s="118">
        <v>2.06</v>
      </c>
      <c r="H670" s="118">
        <v>0.38</v>
      </c>
      <c r="I670" s="285">
        <f t="shared" si="82"/>
        <v>0.38522000000000001</v>
      </c>
    </row>
    <row r="671" spans="1:9" ht="28.5">
      <c r="A671" s="115" t="s">
        <v>437</v>
      </c>
      <c r="B671" s="115" t="s">
        <v>1031</v>
      </c>
      <c r="C671" s="115" t="s">
        <v>431</v>
      </c>
      <c r="D671" s="116" t="s">
        <v>1032</v>
      </c>
      <c r="E671" s="115" t="s">
        <v>8</v>
      </c>
      <c r="F671" s="117">
        <v>3.85E-2</v>
      </c>
      <c r="G671" s="118">
        <v>62.76</v>
      </c>
      <c r="H671" s="118">
        <v>2.41</v>
      </c>
      <c r="I671" s="285">
        <f t="shared" si="82"/>
        <v>2.4162599999999999</v>
      </c>
    </row>
    <row r="672" spans="1:9" ht="28.5">
      <c r="A672" s="115" t="s">
        <v>437</v>
      </c>
      <c r="B672" s="115" t="s">
        <v>1199</v>
      </c>
      <c r="C672" s="115" t="s">
        <v>431</v>
      </c>
      <c r="D672" s="116" t="s">
        <v>1200</v>
      </c>
      <c r="E672" s="115" t="s">
        <v>31</v>
      </c>
      <c r="F672" s="117">
        <v>1.05</v>
      </c>
      <c r="G672" s="118">
        <v>16.149999999999999</v>
      </c>
      <c r="H672" s="118">
        <v>16.95</v>
      </c>
      <c r="I672" s="285">
        <f t="shared" si="82"/>
        <v>16.9575</v>
      </c>
    </row>
    <row r="673" spans="1:9">
      <c r="A673" s="104"/>
      <c r="B673" s="104"/>
      <c r="C673" s="104"/>
      <c r="D673" s="104"/>
      <c r="E673" s="104"/>
      <c r="F673" s="105"/>
      <c r="G673" s="106"/>
      <c r="H673" s="107"/>
      <c r="I673" s="285"/>
    </row>
    <row r="674" spans="1:9">
      <c r="A674" s="108"/>
      <c r="B674" s="108"/>
      <c r="C674" s="108"/>
      <c r="D674" s="108"/>
      <c r="E674" s="108"/>
      <c r="F674" s="109"/>
      <c r="G674" s="110"/>
      <c r="H674" s="110"/>
      <c r="I674" s="285"/>
    </row>
    <row r="675" spans="1:9">
      <c r="A675" s="97" t="s">
        <v>1201</v>
      </c>
      <c r="B675" s="97" t="s">
        <v>418</v>
      </c>
      <c r="C675" s="97" t="s">
        <v>419</v>
      </c>
      <c r="D675" s="98" t="s">
        <v>420</v>
      </c>
      <c r="E675" s="97" t="s">
        <v>421</v>
      </c>
      <c r="F675" s="99" t="s">
        <v>422</v>
      </c>
      <c r="G675" s="97" t="s">
        <v>423</v>
      </c>
      <c r="H675" s="97" t="s">
        <v>424</v>
      </c>
      <c r="I675" s="285"/>
    </row>
    <row r="676" spans="1:9" ht="42.75">
      <c r="A676" s="100" t="s">
        <v>425</v>
      </c>
      <c r="B676" s="100" t="s">
        <v>1202</v>
      </c>
      <c r="C676" s="100" t="s">
        <v>431</v>
      </c>
      <c r="D676" s="101" t="s">
        <v>1203</v>
      </c>
      <c r="E676" s="100" t="s">
        <v>8</v>
      </c>
      <c r="F676" s="102">
        <v>1</v>
      </c>
      <c r="G676" s="103">
        <v>15.19</v>
      </c>
      <c r="H676" s="103">
        <v>15.19</v>
      </c>
      <c r="I676" s="285">
        <f>SUM(I677:I682)</f>
        <v>15.200800000000001</v>
      </c>
    </row>
    <row r="677" spans="1:9" ht="28.5">
      <c r="A677" s="111" t="s">
        <v>434</v>
      </c>
      <c r="B677" s="111" t="s">
        <v>1025</v>
      </c>
      <c r="C677" s="111" t="s">
        <v>431</v>
      </c>
      <c r="D677" s="112" t="s">
        <v>1026</v>
      </c>
      <c r="E677" s="111" t="s">
        <v>520</v>
      </c>
      <c r="F677" s="113">
        <v>0.13</v>
      </c>
      <c r="G677" s="114">
        <v>18.010000000000002</v>
      </c>
      <c r="H677" s="114">
        <v>2.34</v>
      </c>
      <c r="I677" s="285">
        <f t="shared" ref="I677:I682" si="83">F677*G677</f>
        <v>2.3413000000000004</v>
      </c>
    </row>
    <row r="678" spans="1:9" ht="28.5">
      <c r="A678" s="111" t="s">
        <v>434</v>
      </c>
      <c r="B678" s="111" t="s">
        <v>1013</v>
      </c>
      <c r="C678" s="111" t="s">
        <v>431</v>
      </c>
      <c r="D678" s="112" t="s">
        <v>1014</v>
      </c>
      <c r="E678" s="111" t="s">
        <v>520</v>
      </c>
      <c r="F678" s="113">
        <v>0.13</v>
      </c>
      <c r="G678" s="114">
        <v>22.49</v>
      </c>
      <c r="H678" s="114">
        <v>2.92</v>
      </c>
      <c r="I678" s="285">
        <f t="shared" si="83"/>
        <v>2.9236999999999997</v>
      </c>
    </row>
    <row r="679" spans="1:9" ht="28.5">
      <c r="A679" s="115" t="s">
        <v>437</v>
      </c>
      <c r="B679" s="115" t="s">
        <v>1204</v>
      </c>
      <c r="C679" s="115" t="s">
        <v>431</v>
      </c>
      <c r="D679" s="116" t="s">
        <v>1205</v>
      </c>
      <c r="E679" s="115" t="s">
        <v>8</v>
      </c>
      <c r="F679" s="117">
        <v>1</v>
      </c>
      <c r="G679" s="118">
        <v>2.44</v>
      </c>
      <c r="H679" s="118">
        <v>2.44</v>
      </c>
      <c r="I679" s="285">
        <f t="shared" si="83"/>
        <v>2.44</v>
      </c>
    </row>
    <row r="680" spans="1:9" ht="28.5">
      <c r="A680" s="115" t="s">
        <v>437</v>
      </c>
      <c r="B680" s="115" t="s">
        <v>1206</v>
      </c>
      <c r="C680" s="115" t="s">
        <v>431</v>
      </c>
      <c r="D680" s="116" t="s">
        <v>1207</v>
      </c>
      <c r="E680" s="115" t="s">
        <v>8</v>
      </c>
      <c r="F680" s="117">
        <v>1</v>
      </c>
      <c r="G680" s="118">
        <v>6.81</v>
      </c>
      <c r="H680" s="118">
        <v>6.81</v>
      </c>
      <c r="I680" s="285">
        <f t="shared" si="83"/>
        <v>6.81</v>
      </c>
    </row>
    <row r="681" spans="1:9" ht="42.75">
      <c r="A681" s="115" t="s">
        <v>437</v>
      </c>
      <c r="B681" s="115" t="s">
        <v>1109</v>
      </c>
      <c r="C681" s="115" t="s">
        <v>431</v>
      </c>
      <c r="D681" s="116" t="s">
        <v>1110</v>
      </c>
      <c r="E681" s="115" t="s">
        <v>8</v>
      </c>
      <c r="F681" s="117">
        <v>0.03</v>
      </c>
      <c r="G681" s="118">
        <v>22.86</v>
      </c>
      <c r="H681" s="118">
        <v>0.68</v>
      </c>
      <c r="I681" s="285">
        <f t="shared" si="83"/>
        <v>0.68579999999999997</v>
      </c>
    </row>
    <row r="682" spans="1:9">
      <c r="A682" s="104"/>
      <c r="B682" s="104"/>
      <c r="C682" s="104"/>
      <c r="D682" s="104"/>
      <c r="E682" s="104"/>
      <c r="F682" s="105"/>
      <c r="G682" s="106"/>
      <c r="H682" s="107"/>
      <c r="I682" s="285">
        <f t="shared" si="83"/>
        <v>0</v>
      </c>
    </row>
    <row r="683" spans="1:9">
      <c r="A683" s="108"/>
      <c r="B683" s="108"/>
      <c r="C683" s="108"/>
      <c r="D683" s="108"/>
      <c r="E683" s="108"/>
      <c r="F683" s="109"/>
      <c r="G683" s="110"/>
      <c r="H683" s="110"/>
      <c r="I683" s="285"/>
    </row>
    <row r="684" spans="1:9">
      <c r="A684" s="97" t="s">
        <v>1208</v>
      </c>
      <c r="B684" s="97" t="s">
        <v>418</v>
      </c>
      <c r="C684" s="97" t="s">
        <v>419</v>
      </c>
      <c r="D684" s="98" t="s">
        <v>420</v>
      </c>
      <c r="E684" s="97" t="s">
        <v>421</v>
      </c>
      <c r="F684" s="99" t="s">
        <v>422</v>
      </c>
      <c r="G684" s="97" t="s">
        <v>423</v>
      </c>
      <c r="H684" s="97" t="s">
        <v>424</v>
      </c>
      <c r="I684" s="285"/>
    </row>
    <row r="685" spans="1:9" ht="42.75">
      <c r="A685" s="100" t="s">
        <v>425</v>
      </c>
      <c r="B685" s="100" t="s">
        <v>1209</v>
      </c>
      <c r="C685" s="100" t="s">
        <v>431</v>
      </c>
      <c r="D685" s="101" t="s">
        <v>254</v>
      </c>
      <c r="E685" s="100" t="s">
        <v>8</v>
      </c>
      <c r="F685" s="102">
        <v>1</v>
      </c>
      <c r="G685" s="103">
        <v>15.59</v>
      </c>
      <c r="H685" s="103">
        <v>15.59</v>
      </c>
      <c r="I685" s="285">
        <f>SUM(I686:I691)</f>
        <v>15.6058</v>
      </c>
    </row>
    <row r="686" spans="1:9" ht="28.5">
      <c r="A686" s="111" t="s">
        <v>434</v>
      </c>
      <c r="B686" s="111" t="s">
        <v>1025</v>
      </c>
      <c r="C686" s="111" t="s">
        <v>431</v>
      </c>
      <c r="D686" s="112" t="s">
        <v>1026</v>
      </c>
      <c r="E686" s="111" t="s">
        <v>520</v>
      </c>
      <c r="F686" s="113">
        <v>0.08</v>
      </c>
      <c r="G686" s="114">
        <v>18.010000000000002</v>
      </c>
      <c r="H686" s="114">
        <v>1.44</v>
      </c>
      <c r="I686" s="285">
        <f t="shared" ref="I686:I691" si="84">F686*G686</f>
        <v>1.4408000000000001</v>
      </c>
    </row>
    <row r="687" spans="1:9" ht="28.5">
      <c r="A687" s="111" t="s">
        <v>434</v>
      </c>
      <c r="B687" s="111" t="s">
        <v>1013</v>
      </c>
      <c r="C687" s="111" t="s">
        <v>431</v>
      </c>
      <c r="D687" s="112" t="s">
        <v>1014</v>
      </c>
      <c r="E687" s="111" t="s">
        <v>520</v>
      </c>
      <c r="F687" s="113">
        <v>0.08</v>
      </c>
      <c r="G687" s="114">
        <v>22.49</v>
      </c>
      <c r="H687" s="114">
        <v>1.79</v>
      </c>
      <c r="I687" s="285">
        <f t="shared" si="84"/>
        <v>1.7991999999999999</v>
      </c>
    </row>
    <row r="688" spans="1:9" ht="28.5">
      <c r="A688" s="115" t="s">
        <v>437</v>
      </c>
      <c r="B688" s="115" t="s">
        <v>1204</v>
      </c>
      <c r="C688" s="115" t="s">
        <v>431</v>
      </c>
      <c r="D688" s="116" t="s">
        <v>1205</v>
      </c>
      <c r="E688" s="115" t="s">
        <v>8</v>
      </c>
      <c r="F688" s="117">
        <v>1</v>
      </c>
      <c r="G688" s="118">
        <v>2.44</v>
      </c>
      <c r="H688" s="118">
        <v>2.44</v>
      </c>
      <c r="I688" s="285">
        <f t="shared" si="84"/>
        <v>2.44</v>
      </c>
    </row>
    <row r="689" spans="1:9" ht="28.5">
      <c r="A689" s="115" t="s">
        <v>437</v>
      </c>
      <c r="B689" s="115" t="s">
        <v>1210</v>
      </c>
      <c r="C689" s="115" t="s">
        <v>431</v>
      </c>
      <c r="D689" s="116" t="s">
        <v>1211</v>
      </c>
      <c r="E689" s="115" t="s">
        <v>8</v>
      </c>
      <c r="F689" s="117">
        <v>1</v>
      </c>
      <c r="G689" s="118">
        <v>9.24</v>
      </c>
      <c r="H689" s="118">
        <v>9.24</v>
      </c>
      <c r="I689" s="285">
        <f t="shared" si="84"/>
        <v>9.24</v>
      </c>
    </row>
    <row r="690" spans="1:9" ht="42.75">
      <c r="A690" s="115" t="s">
        <v>437</v>
      </c>
      <c r="B690" s="115" t="s">
        <v>1109</v>
      </c>
      <c r="C690" s="115" t="s">
        <v>431</v>
      </c>
      <c r="D690" s="116" t="s">
        <v>1110</v>
      </c>
      <c r="E690" s="115" t="s">
        <v>8</v>
      </c>
      <c r="F690" s="117">
        <v>0.03</v>
      </c>
      <c r="G690" s="118">
        <v>22.86</v>
      </c>
      <c r="H690" s="118">
        <v>0.68</v>
      </c>
      <c r="I690" s="285">
        <f t="shared" si="84"/>
        <v>0.68579999999999997</v>
      </c>
    </row>
    <row r="691" spans="1:9">
      <c r="A691" s="104"/>
      <c r="B691" s="104"/>
      <c r="C691" s="104"/>
      <c r="D691" s="104"/>
      <c r="E691" s="104"/>
      <c r="F691" s="105"/>
      <c r="G691" s="106"/>
      <c r="H691" s="107"/>
      <c r="I691" s="285">
        <f t="shared" si="84"/>
        <v>0</v>
      </c>
    </row>
    <row r="692" spans="1:9">
      <c r="A692" s="108"/>
      <c r="B692" s="108"/>
      <c r="C692" s="108"/>
      <c r="D692" s="108"/>
      <c r="E692" s="108"/>
      <c r="F692" s="109"/>
      <c r="G692" s="110"/>
      <c r="H692" s="110"/>
      <c r="I692" s="285"/>
    </row>
    <row r="693" spans="1:9">
      <c r="A693" s="92" t="s">
        <v>1212</v>
      </c>
      <c r="B693" s="92"/>
      <c r="C693" s="92"/>
      <c r="D693" s="93" t="s">
        <v>256</v>
      </c>
      <c r="E693" s="94"/>
      <c r="F693" s="95"/>
      <c r="G693" s="92"/>
      <c r="H693" s="96"/>
      <c r="I693" s="285"/>
    </row>
    <row r="694" spans="1:9">
      <c r="A694" s="97" t="s">
        <v>1213</v>
      </c>
      <c r="B694" s="97" t="s">
        <v>418</v>
      </c>
      <c r="C694" s="97" t="s">
        <v>419</v>
      </c>
      <c r="D694" s="98" t="s">
        <v>420</v>
      </c>
      <c r="E694" s="97" t="s">
        <v>421</v>
      </c>
      <c r="F694" s="99" t="s">
        <v>422</v>
      </c>
      <c r="G694" s="97" t="s">
        <v>423</v>
      </c>
      <c r="H694" s="97" t="s">
        <v>424</v>
      </c>
      <c r="I694" s="285"/>
    </row>
    <row r="695" spans="1:9" ht="42.75">
      <c r="A695" s="100" t="s">
        <v>425</v>
      </c>
      <c r="B695" s="100" t="s">
        <v>1214</v>
      </c>
      <c r="C695" s="100" t="s">
        <v>431</v>
      </c>
      <c r="D695" s="101" t="s">
        <v>258</v>
      </c>
      <c r="E695" s="100" t="s">
        <v>8</v>
      </c>
      <c r="F695" s="102">
        <v>1</v>
      </c>
      <c r="G695" s="103">
        <v>16.07</v>
      </c>
      <c r="H695" s="103">
        <v>16.07</v>
      </c>
      <c r="I695" s="285">
        <f>SUM(I696:I701)</f>
        <v>16.087879999999998</v>
      </c>
    </row>
    <row r="696" spans="1:9" ht="28.5">
      <c r="A696" s="111" t="s">
        <v>434</v>
      </c>
      <c r="B696" s="111" t="s">
        <v>1025</v>
      </c>
      <c r="C696" s="111" t="s">
        <v>431</v>
      </c>
      <c r="D696" s="112" t="s">
        <v>1026</v>
      </c>
      <c r="E696" s="111" t="s">
        <v>520</v>
      </c>
      <c r="F696" s="113">
        <v>0.15</v>
      </c>
      <c r="G696" s="114">
        <v>18.010000000000002</v>
      </c>
      <c r="H696" s="114">
        <v>2.7</v>
      </c>
      <c r="I696" s="285">
        <f t="shared" ref="I696:I701" si="85">F696*G696</f>
        <v>2.7015000000000002</v>
      </c>
    </row>
    <row r="697" spans="1:9" ht="28.5">
      <c r="A697" s="111" t="s">
        <v>434</v>
      </c>
      <c r="B697" s="111" t="s">
        <v>1013</v>
      </c>
      <c r="C697" s="111" t="s">
        <v>431</v>
      </c>
      <c r="D697" s="112" t="s">
        <v>1014</v>
      </c>
      <c r="E697" s="111" t="s">
        <v>520</v>
      </c>
      <c r="F697" s="113">
        <v>0.15</v>
      </c>
      <c r="G697" s="114">
        <v>22.49</v>
      </c>
      <c r="H697" s="114">
        <v>3.37</v>
      </c>
      <c r="I697" s="285">
        <f t="shared" si="85"/>
        <v>3.3734999999999995</v>
      </c>
    </row>
    <row r="698" spans="1:9">
      <c r="A698" s="115" t="s">
        <v>437</v>
      </c>
      <c r="B698" s="115" t="s">
        <v>1027</v>
      </c>
      <c r="C698" s="115" t="s">
        <v>431</v>
      </c>
      <c r="D698" s="116" t="s">
        <v>1028</v>
      </c>
      <c r="E698" s="115" t="s">
        <v>8</v>
      </c>
      <c r="F698" s="117">
        <v>7.0000000000000001E-3</v>
      </c>
      <c r="G698" s="118">
        <v>55.4</v>
      </c>
      <c r="H698" s="118">
        <v>0.38</v>
      </c>
      <c r="I698" s="285">
        <f t="shared" si="85"/>
        <v>0.38779999999999998</v>
      </c>
    </row>
    <row r="699" spans="1:9">
      <c r="A699" s="115" t="s">
        <v>437</v>
      </c>
      <c r="B699" s="115" t="s">
        <v>1029</v>
      </c>
      <c r="C699" s="115" t="s">
        <v>431</v>
      </c>
      <c r="D699" s="116" t="s">
        <v>1030</v>
      </c>
      <c r="E699" s="115" t="s">
        <v>8</v>
      </c>
      <c r="F699" s="117">
        <v>0.05</v>
      </c>
      <c r="G699" s="118">
        <v>2.06</v>
      </c>
      <c r="H699" s="118">
        <v>0.1</v>
      </c>
      <c r="I699" s="285">
        <f t="shared" si="85"/>
        <v>0.10300000000000001</v>
      </c>
    </row>
    <row r="700" spans="1:9" ht="28.5">
      <c r="A700" s="115" t="s">
        <v>437</v>
      </c>
      <c r="B700" s="115" t="s">
        <v>1215</v>
      </c>
      <c r="C700" s="115" t="s">
        <v>431</v>
      </c>
      <c r="D700" s="116" t="s">
        <v>1216</v>
      </c>
      <c r="E700" s="115" t="s">
        <v>8</v>
      </c>
      <c r="F700" s="117">
        <v>1</v>
      </c>
      <c r="G700" s="118">
        <v>9.02</v>
      </c>
      <c r="H700" s="118">
        <v>9.02</v>
      </c>
      <c r="I700" s="285">
        <f t="shared" si="85"/>
        <v>9.02</v>
      </c>
    </row>
    <row r="701" spans="1:9" ht="28.5">
      <c r="A701" s="115" t="s">
        <v>437</v>
      </c>
      <c r="B701" s="115" t="s">
        <v>1031</v>
      </c>
      <c r="C701" s="115" t="s">
        <v>431</v>
      </c>
      <c r="D701" s="116" t="s">
        <v>1032</v>
      </c>
      <c r="E701" s="115" t="s">
        <v>8</v>
      </c>
      <c r="F701" s="117">
        <v>8.0000000000000002E-3</v>
      </c>
      <c r="G701" s="118">
        <v>62.76</v>
      </c>
      <c r="H701" s="118">
        <v>0.5</v>
      </c>
      <c r="I701" s="285">
        <f t="shared" si="85"/>
        <v>0.50207999999999997</v>
      </c>
    </row>
    <row r="702" spans="1:9">
      <c r="A702" s="104"/>
      <c r="B702" s="104"/>
      <c r="C702" s="104"/>
      <c r="D702" s="104"/>
      <c r="E702" s="104"/>
      <c r="F702" s="105"/>
      <c r="G702" s="106"/>
      <c r="H702" s="107"/>
      <c r="I702" s="285"/>
    </row>
    <row r="703" spans="1:9">
      <c r="A703" s="108"/>
      <c r="B703" s="108"/>
      <c r="C703" s="108"/>
      <c r="D703" s="108"/>
      <c r="E703" s="108"/>
      <c r="F703" s="109"/>
      <c r="G703" s="110"/>
      <c r="H703" s="110"/>
      <c r="I703" s="285"/>
    </row>
    <row r="704" spans="1:9">
      <c r="A704" s="97" t="s">
        <v>1217</v>
      </c>
      <c r="B704" s="97" t="s">
        <v>418</v>
      </c>
      <c r="C704" s="97" t="s">
        <v>419</v>
      </c>
      <c r="D704" s="98" t="s">
        <v>420</v>
      </c>
      <c r="E704" s="97" t="s">
        <v>421</v>
      </c>
      <c r="F704" s="99" t="s">
        <v>422</v>
      </c>
      <c r="G704" s="97" t="s">
        <v>423</v>
      </c>
      <c r="H704" s="97" t="s">
        <v>424</v>
      </c>
      <c r="I704" s="285"/>
    </row>
    <row r="705" spans="1:18" ht="42.75">
      <c r="A705" s="100" t="s">
        <v>425</v>
      </c>
      <c r="B705" s="100" t="s">
        <v>1218</v>
      </c>
      <c r="C705" s="100" t="s">
        <v>431</v>
      </c>
      <c r="D705" s="101" t="s">
        <v>260</v>
      </c>
      <c r="E705" s="100" t="s">
        <v>8</v>
      </c>
      <c r="F705" s="102">
        <v>1</v>
      </c>
      <c r="G705" s="103">
        <v>105.29</v>
      </c>
      <c r="H705" s="103">
        <v>105.29</v>
      </c>
      <c r="I705" s="285">
        <f>SUM(I706:I711)</f>
        <v>105.30078</v>
      </c>
    </row>
    <row r="706" spans="1:18" ht="28.5">
      <c r="A706" s="111" t="s">
        <v>434</v>
      </c>
      <c r="B706" s="111" t="s">
        <v>1025</v>
      </c>
      <c r="C706" s="111" t="s">
        <v>431</v>
      </c>
      <c r="D706" s="112" t="s">
        <v>1026</v>
      </c>
      <c r="E706" s="111" t="s">
        <v>520</v>
      </c>
      <c r="F706" s="113">
        <v>0.22120000000000001</v>
      </c>
      <c r="G706" s="114">
        <v>18.010000000000002</v>
      </c>
      <c r="H706" s="114">
        <v>3.98</v>
      </c>
      <c r="I706" s="285">
        <f t="shared" ref="I706:I711" si="86">F706*G706</f>
        <v>3.9838120000000004</v>
      </c>
    </row>
    <row r="707" spans="1:18" ht="28.5">
      <c r="A707" s="111" t="s">
        <v>434</v>
      </c>
      <c r="B707" s="111" t="s">
        <v>1013</v>
      </c>
      <c r="C707" s="111" t="s">
        <v>431</v>
      </c>
      <c r="D707" s="112" t="s">
        <v>1014</v>
      </c>
      <c r="E707" s="111" t="s">
        <v>520</v>
      </c>
      <c r="F707" s="113">
        <v>0.22120000000000001</v>
      </c>
      <c r="G707" s="114">
        <v>22.49</v>
      </c>
      <c r="H707" s="114">
        <v>4.97</v>
      </c>
      <c r="I707" s="285">
        <f t="shared" si="86"/>
        <v>4.9747880000000002</v>
      </c>
    </row>
    <row r="708" spans="1:18">
      <c r="A708" s="115" t="s">
        <v>437</v>
      </c>
      <c r="B708" s="115" t="s">
        <v>1219</v>
      </c>
      <c r="C708" s="115" t="s">
        <v>431</v>
      </c>
      <c r="D708" s="116" t="s">
        <v>1220</v>
      </c>
      <c r="E708" s="115" t="s">
        <v>8</v>
      </c>
      <c r="F708" s="117">
        <v>1.06E-2</v>
      </c>
      <c r="G708" s="118">
        <v>15.3</v>
      </c>
      <c r="H708" s="118">
        <v>0.16</v>
      </c>
      <c r="I708" s="285">
        <f t="shared" si="86"/>
        <v>0.16218000000000002</v>
      </c>
    </row>
    <row r="709" spans="1:18" ht="28.5">
      <c r="A709" s="115" t="s">
        <v>437</v>
      </c>
      <c r="B709" s="115" t="s">
        <v>1221</v>
      </c>
      <c r="C709" s="115" t="s">
        <v>431</v>
      </c>
      <c r="D709" s="116" t="s">
        <v>1222</v>
      </c>
      <c r="E709" s="115" t="s">
        <v>8</v>
      </c>
      <c r="F709" s="117">
        <v>1</v>
      </c>
      <c r="G709" s="118">
        <v>96.18</v>
      </c>
      <c r="H709" s="118">
        <v>96.18</v>
      </c>
      <c r="I709" s="285">
        <f t="shared" si="86"/>
        <v>96.18</v>
      </c>
    </row>
    <row r="710" spans="1:18">
      <c r="A710" s="104"/>
      <c r="B710" s="104"/>
      <c r="C710" s="104"/>
      <c r="D710" s="104"/>
      <c r="E710" s="104"/>
      <c r="F710" s="105"/>
      <c r="G710" s="106"/>
      <c r="H710" s="107"/>
      <c r="I710" s="285">
        <f t="shared" si="86"/>
        <v>0</v>
      </c>
    </row>
    <row r="711" spans="1:18">
      <c r="A711" s="108"/>
      <c r="B711" s="108"/>
      <c r="C711" s="108"/>
      <c r="D711" s="108"/>
      <c r="E711" s="108"/>
      <c r="F711" s="109"/>
      <c r="G711" s="110"/>
      <c r="H711" s="110"/>
      <c r="I711" s="285">
        <f t="shared" si="86"/>
        <v>0</v>
      </c>
    </row>
    <row r="712" spans="1:18">
      <c r="A712" s="97" t="s">
        <v>1223</v>
      </c>
      <c r="B712" s="97" t="s">
        <v>418</v>
      </c>
      <c r="C712" s="97" t="s">
        <v>419</v>
      </c>
      <c r="D712" s="98" t="s">
        <v>420</v>
      </c>
      <c r="E712" s="97" t="s">
        <v>421</v>
      </c>
      <c r="F712" s="99" t="s">
        <v>422</v>
      </c>
      <c r="G712" s="97" t="s">
        <v>423</v>
      </c>
      <c r="H712" s="97" t="s">
        <v>424</v>
      </c>
      <c r="I712" s="285"/>
    </row>
    <row r="713" spans="1:18" ht="71.25">
      <c r="A713" s="100" t="s">
        <v>425</v>
      </c>
      <c r="B713" s="100" t="s">
        <v>1130</v>
      </c>
      <c r="C713" s="100" t="s">
        <v>427</v>
      </c>
      <c r="D713" s="101" t="s">
        <v>222</v>
      </c>
      <c r="E713" s="100" t="s">
        <v>8</v>
      </c>
      <c r="F713" s="102">
        <v>1</v>
      </c>
      <c r="G713" s="119">
        <v>173.74</v>
      </c>
      <c r="H713" s="119">
        <v>173.74</v>
      </c>
      <c r="I713" s="285">
        <f>SUM(I714:I723)</f>
        <v>173.77593000000002</v>
      </c>
      <c r="J713" s="100" t="s">
        <v>425</v>
      </c>
      <c r="K713" s="100" t="s">
        <v>1130</v>
      </c>
      <c r="L713" s="100" t="s">
        <v>427</v>
      </c>
      <c r="M713" s="101" t="s">
        <v>222</v>
      </c>
      <c r="N713" s="100" t="s">
        <v>8</v>
      </c>
      <c r="O713" s="102">
        <v>1</v>
      </c>
      <c r="P713" s="119" t="s">
        <v>1131</v>
      </c>
      <c r="Q713" s="119" t="s">
        <v>1131</v>
      </c>
      <c r="R713" s="285">
        <f>SUM(R714:R723)</f>
        <v>222.02847500000004</v>
      </c>
    </row>
    <row r="714" spans="1:18" ht="42.75">
      <c r="A714" s="283" t="s">
        <v>434</v>
      </c>
      <c r="B714" s="283" t="s">
        <v>1055</v>
      </c>
      <c r="C714" s="283" t="s">
        <v>427</v>
      </c>
      <c r="D714" s="284" t="s">
        <v>1056</v>
      </c>
      <c r="E714" s="283" t="s">
        <v>468</v>
      </c>
      <c r="F714" s="292">
        <v>0.26950000000000002</v>
      </c>
      <c r="G714" s="293">
        <v>57.15</v>
      </c>
      <c r="H714" s="121">
        <v>15.4</v>
      </c>
      <c r="I714" s="285">
        <f t="shared" ref="I714:I723" si="87">F714*G714</f>
        <v>15.401925</v>
      </c>
      <c r="J714" s="281" t="s">
        <v>434</v>
      </c>
      <c r="K714" s="281" t="s">
        <v>1042</v>
      </c>
      <c r="L714" s="281" t="s">
        <v>427</v>
      </c>
      <c r="M714" s="282" t="s">
        <v>1043</v>
      </c>
      <c r="N714" s="281" t="s">
        <v>451</v>
      </c>
      <c r="O714" s="294">
        <v>0.8</v>
      </c>
      <c r="P714" s="295" t="s">
        <v>1048</v>
      </c>
      <c r="Q714" s="121" t="s">
        <v>1132</v>
      </c>
      <c r="R714" s="285">
        <f t="shared" ref="R714:R723" si="88">O714*P714</f>
        <v>45.72</v>
      </c>
    </row>
    <row r="715" spans="1:18" ht="28.5">
      <c r="A715" s="283" t="s">
        <v>434</v>
      </c>
      <c r="B715" s="283" t="s">
        <v>1062</v>
      </c>
      <c r="C715" s="283" t="s">
        <v>427</v>
      </c>
      <c r="D715" s="284" t="s">
        <v>1063</v>
      </c>
      <c r="E715" s="283" t="s">
        <v>468</v>
      </c>
      <c r="F715" s="292">
        <v>7.1499999999999994E-2</v>
      </c>
      <c r="G715" s="293">
        <v>57.15</v>
      </c>
      <c r="H715" s="121">
        <v>4.08</v>
      </c>
      <c r="I715" s="285">
        <f t="shared" si="87"/>
        <v>4.0862249999999998</v>
      </c>
      <c r="J715" s="281" t="s">
        <v>434</v>
      </c>
      <c r="K715" s="281" t="s">
        <v>1046</v>
      </c>
      <c r="L715" s="281" t="s">
        <v>427</v>
      </c>
      <c r="M715" s="282" t="s">
        <v>1047</v>
      </c>
      <c r="N715" s="281" t="s">
        <v>451</v>
      </c>
      <c r="O715" s="294">
        <v>0.49</v>
      </c>
      <c r="P715" s="295" t="s">
        <v>1048</v>
      </c>
      <c r="Q715" s="121" t="s">
        <v>1133</v>
      </c>
      <c r="R715" s="285">
        <f t="shared" si="88"/>
        <v>28.003499999999999</v>
      </c>
    </row>
    <row r="716" spans="1:18" ht="42.75">
      <c r="A716" s="283" t="s">
        <v>434</v>
      </c>
      <c r="B716" s="283" t="s">
        <v>1046</v>
      </c>
      <c r="C716" s="283" t="s">
        <v>427</v>
      </c>
      <c r="D716" s="284" t="s">
        <v>1047</v>
      </c>
      <c r="E716" s="283" t="s">
        <v>451</v>
      </c>
      <c r="F716" s="292">
        <v>0.49</v>
      </c>
      <c r="G716" s="293">
        <v>19.329999999999998</v>
      </c>
      <c r="H716" s="121">
        <v>9.4700000000000006</v>
      </c>
      <c r="I716" s="285">
        <f t="shared" si="87"/>
        <v>9.4716999999999985</v>
      </c>
      <c r="J716" s="281" t="s">
        <v>434</v>
      </c>
      <c r="K716" s="281" t="s">
        <v>1050</v>
      </c>
      <c r="L716" s="281" t="s">
        <v>427</v>
      </c>
      <c r="M716" s="282" t="s">
        <v>1051</v>
      </c>
      <c r="N716" s="281" t="s">
        <v>468</v>
      </c>
      <c r="O716" s="294">
        <v>6.3100000000000003E-2</v>
      </c>
      <c r="P716" s="295" t="s">
        <v>1044</v>
      </c>
      <c r="Q716" s="121" t="s">
        <v>1134</v>
      </c>
      <c r="R716" s="285">
        <f t="shared" si="88"/>
        <v>1.2197229999999999</v>
      </c>
    </row>
    <row r="717" spans="1:18" ht="28.5">
      <c r="A717" s="111" t="s">
        <v>434</v>
      </c>
      <c r="B717" s="111" t="s">
        <v>942</v>
      </c>
      <c r="C717" s="111" t="s">
        <v>427</v>
      </c>
      <c r="D717" s="112" t="s">
        <v>943</v>
      </c>
      <c r="E717" s="111" t="s">
        <v>60</v>
      </c>
      <c r="F717" s="113">
        <v>0.71499999999999997</v>
      </c>
      <c r="G717" s="121">
        <v>12.52</v>
      </c>
      <c r="H717" s="121">
        <v>8.9499999999999993</v>
      </c>
      <c r="I717" s="285">
        <f t="shared" si="87"/>
        <v>8.9517999999999986</v>
      </c>
      <c r="J717" s="111" t="s">
        <v>434</v>
      </c>
      <c r="K717" s="111" t="s">
        <v>942</v>
      </c>
      <c r="L717" s="111" t="s">
        <v>427</v>
      </c>
      <c r="M717" s="112" t="s">
        <v>943</v>
      </c>
      <c r="N717" s="111" t="s">
        <v>60</v>
      </c>
      <c r="O717" s="113">
        <v>0.71499999999999997</v>
      </c>
      <c r="P717" s="121" t="s">
        <v>947</v>
      </c>
      <c r="Q717" s="121" t="s">
        <v>1135</v>
      </c>
      <c r="R717" s="285">
        <f t="shared" si="88"/>
        <v>8.9517999999999986</v>
      </c>
    </row>
    <row r="718" spans="1:18" ht="28.5">
      <c r="A718" s="283" t="s">
        <v>434</v>
      </c>
      <c r="B718" s="283" t="s">
        <v>1058</v>
      </c>
      <c r="C718" s="283" t="s">
        <v>427</v>
      </c>
      <c r="D718" s="284" t="s">
        <v>1059</v>
      </c>
      <c r="E718" s="283" t="s">
        <v>451</v>
      </c>
      <c r="F718" s="292">
        <v>0.128</v>
      </c>
      <c r="G718" s="293">
        <v>51.32</v>
      </c>
      <c r="H718" s="121">
        <v>6.56</v>
      </c>
      <c r="I718" s="285">
        <f t="shared" si="87"/>
        <v>6.5689600000000006</v>
      </c>
      <c r="J718" s="281" t="s">
        <v>434</v>
      </c>
      <c r="K718" s="281" t="s">
        <v>1055</v>
      </c>
      <c r="L718" s="281" t="s">
        <v>427</v>
      </c>
      <c r="M718" s="282" t="s">
        <v>1056</v>
      </c>
      <c r="N718" s="281" t="s">
        <v>468</v>
      </c>
      <c r="O718" s="294">
        <v>0.26950000000000002</v>
      </c>
      <c r="P718" s="295" t="s">
        <v>1053</v>
      </c>
      <c r="Q718" s="121" t="s">
        <v>1136</v>
      </c>
      <c r="R718" s="285">
        <f t="shared" si="88"/>
        <v>13.83074</v>
      </c>
    </row>
    <row r="719" spans="1:18" ht="42.75">
      <c r="A719" s="283" t="s">
        <v>434</v>
      </c>
      <c r="B719" s="283" t="s">
        <v>1042</v>
      </c>
      <c r="C719" s="283" t="s">
        <v>427</v>
      </c>
      <c r="D719" s="284" t="s">
        <v>1043</v>
      </c>
      <c r="E719" s="283" t="s">
        <v>451</v>
      </c>
      <c r="F719" s="292">
        <v>0.8</v>
      </c>
      <c r="G719" s="293">
        <v>81.180000000000007</v>
      </c>
      <c r="H719" s="121">
        <v>64.94</v>
      </c>
      <c r="I719" s="285">
        <f t="shared" si="87"/>
        <v>64.944000000000003</v>
      </c>
      <c r="J719" s="281" t="s">
        <v>434</v>
      </c>
      <c r="K719" s="281" t="s">
        <v>1058</v>
      </c>
      <c r="L719" s="281" t="s">
        <v>427</v>
      </c>
      <c r="M719" s="282" t="s">
        <v>1059</v>
      </c>
      <c r="N719" s="281" t="s">
        <v>451</v>
      </c>
      <c r="O719" s="294">
        <v>0.128</v>
      </c>
      <c r="P719" s="295" t="s">
        <v>1060</v>
      </c>
      <c r="Q719" s="121" t="s">
        <v>1137</v>
      </c>
      <c r="R719" s="285">
        <f t="shared" si="88"/>
        <v>10.39104</v>
      </c>
    </row>
    <row r="720" spans="1:18" ht="42.75">
      <c r="A720" s="283" t="s">
        <v>434</v>
      </c>
      <c r="B720" s="283" t="s">
        <v>1066</v>
      </c>
      <c r="C720" s="283" t="s">
        <v>427</v>
      </c>
      <c r="D720" s="284" t="s">
        <v>1067</v>
      </c>
      <c r="E720" s="283" t="s">
        <v>451</v>
      </c>
      <c r="F720" s="292">
        <v>0.8</v>
      </c>
      <c r="G720" s="293">
        <v>33.25</v>
      </c>
      <c r="H720" s="121">
        <v>26.6</v>
      </c>
      <c r="I720" s="285">
        <f t="shared" si="87"/>
        <v>26.6</v>
      </c>
      <c r="J720" s="281" t="s">
        <v>434</v>
      </c>
      <c r="K720" s="281" t="s">
        <v>1062</v>
      </c>
      <c r="L720" s="281" t="s">
        <v>427</v>
      </c>
      <c r="M720" s="282" t="s">
        <v>1063</v>
      </c>
      <c r="N720" s="281" t="s">
        <v>468</v>
      </c>
      <c r="O720" s="294">
        <v>7.1499999999999994E-2</v>
      </c>
      <c r="P720" s="295" t="s">
        <v>1064</v>
      </c>
      <c r="Q720" s="121" t="s">
        <v>1138</v>
      </c>
      <c r="R720" s="285">
        <f t="shared" si="88"/>
        <v>2.3773749999999998</v>
      </c>
    </row>
    <row r="721" spans="1:18" ht="42.75">
      <c r="A721" s="283" t="s">
        <v>434</v>
      </c>
      <c r="B721" s="283" t="s">
        <v>1070</v>
      </c>
      <c r="C721" s="283" t="s">
        <v>427</v>
      </c>
      <c r="D721" s="284" t="s">
        <v>1071</v>
      </c>
      <c r="E721" s="283" t="s">
        <v>468</v>
      </c>
      <c r="F721" s="292">
        <v>0.19800000000000001</v>
      </c>
      <c r="G721" s="293">
        <v>30.3</v>
      </c>
      <c r="H721" s="121">
        <v>5.99</v>
      </c>
      <c r="I721" s="285">
        <f t="shared" si="87"/>
        <v>5.9994000000000005</v>
      </c>
      <c r="J721" s="281" t="s">
        <v>434</v>
      </c>
      <c r="K721" s="281" t="s">
        <v>1066</v>
      </c>
      <c r="L721" s="281" t="s">
        <v>427</v>
      </c>
      <c r="M721" s="282" t="s">
        <v>1067</v>
      </c>
      <c r="N721" s="281" t="s">
        <v>451</v>
      </c>
      <c r="O721" s="294">
        <v>0.8</v>
      </c>
      <c r="P721" s="295" t="s">
        <v>1068</v>
      </c>
      <c r="Q721" s="121" t="s">
        <v>1139</v>
      </c>
      <c r="R721" s="285">
        <f t="shared" si="88"/>
        <v>24.240000000000002</v>
      </c>
    </row>
    <row r="722" spans="1:18" ht="42.75">
      <c r="A722" s="283" t="s">
        <v>434</v>
      </c>
      <c r="B722" s="283" t="s">
        <v>1050</v>
      </c>
      <c r="C722" s="283" t="s">
        <v>427</v>
      </c>
      <c r="D722" s="284" t="s">
        <v>1051</v>
      </c>
      <c r="E722" s="283" t="s">
        <v>468</v>
      </c>
      <c r="F722" s="292">
        <v>6.3100000000000003E-2</v>
      </c>
      <c r="G722" s="293">
        <v>411.73</v>
      </c>
      <c r="H722" s="121">
        <v>25.98</v>
      </c>
      <c r="I722" s="285">
        <f t="shared" si="87"/>
        <v>25.980163000000001</v>
      </c>
      <c r="J722" s="281" t="s">
        <v>434</v>
      </c>
      <c r="K722" s="281" t="s">
        <v>1070</v>
      </c>
      <c r="L722" s="281" t="s">
        <v>427</v>
      </c>
      <c r="M722" s="282" t="s">
        <v>1071</v>
      </c>
      <c r="N722" s="281" t="s">
        <v>468</v>
      </c>
      <c r="O722" s="294">
        <v>0.19800000000000001</v>
      </c>
      <c r="P722" s="295" t="s">
        <v>1076</v>
      </c>
      <c r="Q722" s="121" t="s">
        <v>1140</v>
      </c>
      <c r="R722" s="285">
        <f t="shared" si="88"/>
        <v>81.522540000000006</v>
      </c>
    </row>
    <row r="723" spans="1:18" ht="28.5">
      <c r="A723" s="111" t="s">
        <v>434</v>
      </c>
      <c r="B723" s="111" t="s">
        <v>1074</v>
      </c>
      <c r="C723" s="111" t="s">
        <v>427</v>
      </c>
      <c r="D723" s="112" t="s">
        <v>1075</v>
      </c>
      <c r="E723" s="111" t="s">
        <v>468</v>
      </c>
      <c r="F723" s="113">
        <v>6.3100000000000003E-2</v>
      </c>
      <c r="G723" s="121">
        <v>91.47</v>
      </c>
      <c r="H723" s="121">
        <v>5.77</v>
      </c>
      <c r="I723" s="285">
        <f t="shared" si="87"/>
        <v>5.771757</v>
      </c>
      <c r="J723" s="111" t="s">
        <v>434</v>
      </c>
      <c r="K723" s="111" t="s">
        <v>1074</v>
      </c>
      <c r="L723" s="111" t="s">
        <v>427</v>
      </c>
      <c r="M723" s="112" t="s">
        <v>1075</v>
      </c>
      <c r="N723" s="111" t="s">
        <v>468</v>
      </c>
      <c r="O723" s="113">
        <v>6.3100000000000003E-2</v>
      </c>
      <c r="P723" s="121" t="s">
        <v>1072</v>
      </c>
      <c r="Q723" s="121" t="s">
        <v>1141</v>
      </c>
      <c r="R723" s="285">
        <f t="shared" si="88"/>
        <v>5.771757</v>
      </c>
    </row>
    <row r="724" spans="1:18">
      <c r="A724" s="104"/>
      <c r="B724" s="104"/>
      <c r="C724" s="104"/>
      <c r="D724" s="104"/>
      <c r="E724" s="104"/>
      <c r="F724" s="105"/>
      <c r="G724" s="106"/>
      <c r="H724" s="107"/>
      <c r="I724" s="285"/>
    </row>
    <row r="725" spans="1:18">
      <c r="A725" s="108"/>
      <c r="B725" s="108"/>
      <c r="C725" s="108"/>
      <c r="D725" s="108"/>
      <c r="E725" s="108"/>
      <c r="F725" s="109"/>
      <c r="G725" s="110"/>
      <c r="H725" s="110"/>
      <c r="I725" s="285"/>
    </row>
    <row r="726" spans="1:18">
      <c r="A726" s="97" t="s">
        <v>1224</v>
      </c>
      <c r="B726" s="97" t="s">
        <v>418</v>
      </c>
      <c r="C726" s="97" t="s">
        <v>419</v>
      </c>
      <c r="D726" s="98" t="s">
        <v>420</v>
      </c>
      <c r="E726" s="97" t="s">
        <v>421</v>
      </c>
      <c r="F726" s="99" t="s">
        <v>422</v>
      </c>
      <c r="G726" s="97" t="s">
        <v>423</v>
      </c>
      <c r="H726" s="97" t="s">
        <v>424</v>
      </c>
      <c r="I726" s="285"/>
    </row>
    <row r="727" spans="1:18" ht="42.75">
      <c r="A727" s="100" t="s">
        <v>425</v>
      </c>
      <c r="B727" s="100" t="s">
        <v>1225</v>
      </c>
      <c r="C727" s="100" t="s">
        <v>431</v>
      </c>
      <c r="D727" s="101" t="s">
        <v>263</v>
      </c>
      <c r="E727" s="100" t="s">
        <v>8</v>
      </c>
      <c r="F727" s="102">
        <v>1</v>
      </c>
      <c r="G727" s="103">
        <v>8.1300000000000008</v>
      </c>
      <c r="H727" s="103">
        <v>8.1300000000000008</v>
      </c>
      <c r="I727" s="285">
        <f>SUM(I728:I733)</f>
        <v>8.1478799999999989</v>
      </c>
    </row>
    <row r="728" spans="1:18" ht="28.5">
      <c r="A728" s="111" t="s">
        <v>434</v>
      </c>
      <c r="B728" s="111" t="s">
        <v>1025</v>
      </c>
      <c r="C728" s="111" t="s">
        <v>431</v>
      </c>
      <c r="D728" s="112" t="s">
        <v>1026</v>
      </c>
      <c r="E728" s="111" t="s">
        <v>520</v>
      </c>
      <c r="F728" s="113">
        <v>0.15</v>
      </c>
      <c r="G728" s="114">
        <v>18.010000000000002</v>
      </c>
      <c r="H728" s="114">
        <v>2.7</v>
      </c>
      <c r="I728" s="285">
        <f t="shared" ref="I728:I733" si="89">F728*G728</f>
        <v>2.7015000000000002</v>
      </c>
    </row>
    <row r="729" spans="1:18" ht="28.5">
      <c r="A729" s="111" t="s">
        <v>434</v>
      </c>
      <c r="B729" s="111" t="s">
        <v>1013</v>
      </c>
      <c r="C729" s="111" t="s">
        <v>431</v>
      </c>
      <c r="D729" s="112" t="s">
        <v>1014</v>
      </c>
      <c r="E729" s="111" t="s">
        <v>520</v>
      </c>
      <c r="F729" s="113">
        <v>0.15</v>
      </c>
      <c r="G729" s="114">
        <v>22.49</v>
      </c>
      <c r="H729" s="114">
        <v>3.37</v>
      </c>
      <c r="I729" s="285">
        <f t="shared" si="89"/>
        <v>3.3734999999999995</v>
      </c>
    </row>
    <row r="730" spans="1:18">
      <c r="A730" s="115" t="s">
        <v>437</v>
      </c>
      <c r="B730" s="115" t="s">
        <v>1027</v>
      </c>
      <c r="C730" s="115" t="s">
        <v>431</v>
      </c>
      <c r="D730" s="116" t="s">
        <v>1028</v>
      </c>
      <c r="E730" s="115" t="s">
        <v>8</v>
      </c>
      <c r="F730" s="117">
        <v>7.0000000000000001E-3</v>
      </c>
      <c r="G730" s="118">
        <v>55.4</v>
      </c>
      <c r="H730" s="118">
        <v>0.38</v>
      </c>
      <c r="I730" s="285">
        <f t="shared" si="89"/>
        <v>0.38779999999999998</v>
      </c>
    </row>
    <row r="731" spans="1:18">
      <c r="A731" s="115" t="s">
        <v>437</v>
      </c>
      <c r="B731" s="115" t="s">
        <v>1029</v>
      </c>
      <c r="C731" s="115" t="s">
        <v>431</v>
      </c>
      <c r="D731" s="116" t="s">
        <v>1030</v>
      </c>
      <c r="E731" s="115" t="s">
        <v>8</v>
      </c>
      <c r="F731" s="117">
        <v>0.05</v>
      </c>
      <c r="G731" s="118">
        <v>2.06</v>
      </c>
      <c r="H731" s="118">
        <v>0.1</v>
      </c>
      <c r="I731" s="285">
        <f t="shared" si="89"/>
        <v>0.10300000000000001</v>
      </c>
    </row>
    <row r="732" spans="1:18" ht="28.5">
      <c r="A732" s="115" t="s">
        <v>437</v>
      </c>
      <c r="B732" s="115" t="s">
        <v>1226</v>
      </c>
      <c r="C732" s="115" t="s">
        <v>431</v>
      </c>
      <c r="D732" s="116" t="s">
        <v>1227</v>
      </c>
      <c r="E732" s="115" t="s">
        <v>8</v>
      </c>
      <c r="F732" s="117">
        <v>1</v>
      </c>
      <c r="G732" s="118">
        <v>1.08</v>
      </c>
      <c r="H732" s="118">
        <v>1.08</v>
      </c>
      <c r="I732" s="285">
        <f t="shared" si="89"/>
        <v>1.08</v>
      </c>
    </row>
    <row r="733" spans="1:18" ht="28.5">
      <c r="A733" s="115" t="s">
        <v>437</v>
      </c>
      <c r="B733" s="115" t="s">
        <v>1031</v>
      </c>
      <c r="C733" s="115" t="s">
        <v>431</v>
      </c>
      <c r="D733" s="116" t="s">
        <v>1032</v>
      </c>
      <c r="E733" s="115" t="s">
        <v>8</v>
      </c>
      <c r="F733" s="117">
        <v>8.0000000000000002E-3</v>
      </c>
      <c r="G733" s="118">
        <v>62.76</v>
      </c>
      <c r="H733" s="118">
        <v>0.5</v>
      </c>
      <c r="I733" s="285">
        <f t="shared" si="89"/>
        <v>0.50207999999999997</v>
      </c>
    </row>
    <row r="734" spans="1:18">
      <c r="A734" s="104"/>
      <c r="B734" s="104"/>
      <c r="C734" s="104"/>
      <c r="D734" s="104"/>
      <c r="E734" s="104"/>
      <c r="F734" s="105"/>
      <c r="G734" s="106"/>
      <c r="H734" s="107"/>
      <c r="I734" s="285"/>
    </row>
    <row r="735" spans="1:18">
      <c r="A735" s="108"/>
      <c r="B735" s="108"/>
      <c r="C735" s="108"/>
      <c r="D735" s="108"/>
      <c r="E735" s="108"/>
      <c r="F735" s="109"/>
      <c r="G735" s="110"/>
      <c r="H735" s="110"/>
      <c r="I735" s="285"/>
    </row>
    <row r="736" spans="1:18">
      <c r="A736" s="97" t="s">
        <v>1228</v>
      </c>
      <c r="B736" s="97" t="s">
        <v>418</v>
      </c>
      <c r="C736" s="97" t="s">
        <v>419</v>
      </c>
      <c r="D736" s="98" t="s">
        <v>420</v>
      </c>
      <c r="E736" s="97" t="s">
        <v>421</v>
      </c>
      <c r="F736" s="99" t="s">
        <v>422</v>
      </c>
      <c r="G736" s="97" t="s">
        <v>423</v>
      </c>
      <c r="H736" s="97" t="s">
        <v>424</v>
      </c>
      <c r="I736" s="285"/>
    </row>
    <row r="737" spans="1:9" ht="28.5">
      <c r="A737" s="100" t="s">
        <v>425</v>
      </c>
      <c r="B737" s="100" t="s">
        <v>1229</v>
      </c>
      <c r="C737" s="100" t="s">
        <v>431</v>
      </c>
      <c r="D737" s="101" t="s">
        <v>265</v>
      </c>
      <c r="E737" s="100" t="s">
        <v>8</v>
      </c>
      <c r="F737" s="102">
        <v>1</v>
      </c>
      <c r="G737" s="103">
        <v>11.42</v>
      </c>
      <c r="H737" s="103">
        <v>11.42</v>
      </c>
      <c r="I737" s="285">
        <f>SUM(I738:I743)</f>
        <v>11.447020000000004</v>
      </c>
    </row>
    <row r="738" spans="1:9" ht="28.5">
      <c r="A738" s="111" t="s">
        <v>434</v>
      </c>
      <c r="B738" s="111" t="s">
        <v>1025</v>
      </c>
      <c r="C738" s="111" t="s">
        <v>431</v>
      </c>
      <c r="D738" s="112" t="s">
        <v>1026</v>
      </c>
      <c r="E738" s="111" t="s">
        <v>520</v>
      </c>
      <c r="F738" s="113">
        <v>0.2</v>
      </c>
      <c r="G738" s="114">
        <v>18.010000000000002</v>
      </c>
      <c r="H738" s="114">
        <v>3.6</v>
      </c>
      <c r="I738" s="285">
        <f t="shared" ref="I738:I743" si="90">F738*G738</f>
        <v>3.6020000000000003</v>
      </c>
    </row>
    <row r="739" spans="1:9" ht="28.5">
      <c r="A739" s="111" t="s">
        <v>434</v>
      </c>
      <c r="B739" s="111" t="s">
        <v>1013</v>
      </c>
      <c r="C739" s="111" t="s">
        <v>431</v>
      </c>
      <c r="D739" s="112" t="s">
        <v>1014</v>
      </c>
      <c r="E739" s="111" t="s">
        <v>520</v>
      </c>
      <c r="F739" s="113">
        <v>0.2</v>
      </c>
      <c r="G739" s="114">
        <v>22.49</v>
      </c>
      <c r="H739" s="114">
        <v>4.49</v>
      </c>
      <c r="I739" s="285">
        <f t="shared" si="90"/>
        <v>4.4980000000000002</v>
      </c>
    </row>
    <row r="740" spans="1:9">
      <c r="A740" s="115" t="s">
        <v>437</v>
      </c>
      <c r="B740" s="115" t="s">
        <v>1027</v>
      </c>
      <c r="C740" s="115" t="s">
        <v>431</v>
      </c>
      <c r="D740" s="116" t="s">
        <v>1028</v>
      </c>
      <c r="E740" s="115" t="s">
        <v>8</v>
      </c>
      <c r="F740" s="117">
        <v>1.0999999999999999E-2</v>
      </c>
      <c r="G740" s="118">
        <v>55.4</v>
      </c>
      <c r="H740" s="118">
        <v>0.6</v>
      </c>
      <c r="I740" s="285">
        <f t="shared" si="90"/>
        <v>0.60939999999999994</v>
      </c>
    </row>
    <row r="741" spans="1:9">
      <c r="A741" s="115" t="s">
        <v>437</v>
      </c>
      <c r="B741" s="115" t="s">
        <v>1029</v>
      </c>
      <c r="C741" s="115" t="s">
        <v>431</v>
      </c>
      <c r="D741" s="116" t="s">
        <v>1030</v>
      </c>
      <c r="E741" s="115" t="s">
        <v>8</v>
      </c>
      <c r="F741" s="117">
        <v>7.4999999999999997E-2</v>
      </c>
      <c r="G741" s="118">
        <v>2.06</v>
      </c>
      <c r="H741" s="118">
        <v>0.15</v>
      </c>
      <c r="I741" s="285">
        <f t="shared" si="90"/>
        <v>0.1545</v>
      </c>
    </row>
    <row r="742" spans="1:9" ht="28.5">
      <c r="A742" s="115" t="s">
        <v>437</v>
      </c>
      <c r="B742" s="115" t="s">
        <v>1031</v>
      </c>
      <c r="C742" s="115" t="s">
        <v>431</v>
      </c>
      <c r="D742" s="116" t="s">
        <v>1032</v>
      </c>
      <c r="E742" s="115" t="s">
        <v>8</v>
      </c>
      <c r="F742" s="117">
        <v>1.2E-2</v>
      </c>
      <c r="G742" s="118">
        <v>62.76</v>
      </c>
      <c r="H742" s="118">
        <v>0.75</v>
      </c>
      <c r="I742" s="285">
        <f t="shared" si="90"/>
        <v>0.75312000000000001</v>
      </c>
    </row>
    <row r="743" spans="1:9" ht="28.5">
      <c r="A743" s="115" t="s">
        <v>437</v>
      </c>
      <c r="B743" s="115" t="s">
        <v>1230</v>
      </c>
      <c r="C743" s="115" t="s">
        <v>431</v>
      </c>
      <c r="D743" s="116" t="s">
        <v>1231</v>
      </c>
      <c r="E743" s="115" t="s">
        <v>8</v>
      </c>
      <c r="F743" s="117">
        <v>1</v>
      </c>
      <c r="G743" s="118">
        <v>1.83</v>
      </c>
      <c r="H743" s="118">
        <v>1.83</v>
      </c>
      <c r="I743" s="285">
        <f t="shared" si="90"/>
        <v>1.83</v>
      </c>
    </row>
    <row r="744" spans="1:9">
      <c r="A744" s="104"/>
      <c r="B744" s="104"/>
      <c r="C744" s="104"/>
      <c r="D744" s="104"/>
      <c r="E744" s="104"/>
      <c r="F744" s="105"/>
      <c r="G744" s="106"/>
      <c r="H744" s="107"/>
      <c r="I744" s="285"/>
    </row>
    <row r="745" spans="1:9">
      <c r="A745" s="108"/>
      <c r="B745" s="108"/>
      <c r="C745" s="108"/>
      <c r="D745" s="108"/>
      <c r="E745" s="108"/>
      <c r="F745" s="109"/>
      <c r="G745" s="110"/>
      <c r="H745" s="110"/>
      <c r="I745" s="285"/>
    </row>
    <row r="746" spans="1:9">
      <c r="A746" s="97" t="s">
        <v>1232</v>
      </c>
      <c r="B746" s="97" t="s">
        <v>418</v>
      </c>
      <c r="C746" s="97" t="s">
        <v>419</v>
      </c>
      <c r="D746" s="98" t="s">
        <v>420</v>
      </c>
      <c r="E746" s="97" t="s">
        <v>421</v>
      </c>
      <c r="F746" s="99" t="s">
        <v>422</v>
      </c>
      <c r="G746" s="97" t="s">
        <v>423</v>
      </c>
      <c r="H746" s="97" t="s">
        <v>424</v>
      </c>
      <c r="I746" s="285"/>
    </row>
    <row r="747" spans="1:9" ht="42.75">
      <c r="A747" s="100" t="s">
        <v>425</v>
      </c>
      <c r="B747" s="100" t="s">
        <v>1233</v>
      </c>
      <c r="C747" s="100" t="s">
        <v>431</v>
      </c>
      <c r="D747" s="101" t="s">
        <v>267</v>
      </c>
      <c r="E747" s="100" t="s">
        <v>8</v>
      </c>
      <c r="F747" s="102">
        <v>1</v>
      </c>
      <c r="G747" s="103">
        <v>22.57</v>
      </c>
      <c r="H747" s="103">
        <v>22.57</v>
      </c>
      <c r="I747" s="285">
        <f>SUM(I748:I753)</f>
        <v>22.597020000000004</v>
      </c>
    </row>
    <row r="748" spans="1:9" ht="28.5">
      <c r="A748" s="111" t="s">
        <v>434</v>
      </c>
      <c r="B748" s="111" t="s">
        <v>1025</v>
      </c>
      <c r="C748" s="111" t="s">
        <v>431</v>
      </c>
      <c r="D748" s="112" t="s">
        <v>1026</v>
      </c>
      <c r="E748" s="111" t="s">
        <v>520</v>
      </c>
      <c r="F748" s="113">
        <v>0.2</v>
      </c>
      <c r="G748" s="114">
        <v>18.010000000000002</v>
      </c>
      <c r="H748" s="114">
        <v>3.6</v>
      </c>
      <c r="I748" s="285">
        <f t="shared" ref="I748:I753" si="91">F748*G748</f>
        <v>3.6020000000000003</v>
      </c>
    </row>
    <row r="749" spans="1:9" ht="28.5">
      <c r="A749" s="111" t="s">
        <v>434</v>
      </c>
      <c r="B749" s="111" t="s">
        <v>1013</v>
      </c>
      <c r="C749" s="111" t="s">
        <v>431</v>
      </c>
      <c r="D749" s="112" t="s">
        <v>1014</v>
      </c>
      <c r="E749" s="111" t="s">
        <v>520</v>
      </c>
      <c r="F749" s="113">
        <v>0.2</v>
      </c>
      <c r="G749" s="114">
        <v>22.49</v>
      </c>
      <c r="H749" s="114">
        <v>4.49</v>
      </c>
      <c r="I749" s="285">
        <f t="shared" si="91"/>
        <v>4.4980000000000002</v>
      </c>
    </row>
    <row r="750" spans="1:9">
      <c r="A750" s="115" t="s">
        <v>437</v>
      </c>
      <c r="B750" s="115" t="s">
        <v>1027</v>
      </c>
      <c r="C750" s="115" t="s">
        <v>431</v>
      </c>
      <c r="D750" s="116" t="s">
        <v>1028</v>
      </c>
      <c r="E750" s="115" t="s">
        <v>8</v>
      </c>
      <c r="F750" s="117">
        <v>1.0999999999999999E-2</v>
      </c>
      <c r="G750" s="118">
        <v>55.4</v>
      </c>
      <c r="H750" s="118">
        <v>0.6</v>
      </c>
      <c r="I750" s="285">
        <f t="shared" si="91"/>
        <v>0.60939999999999994</v>
      </c>
    </row>
    <row r="751" spans="1:9">
      <c r="A751" s="115" t="s">
        <v>437</v>
      </c>
      <c r="B751" s="115" t="s">
        <v>1029</v>
      </c>
      <c r="C751" s="115" t="s">
        <v>431</v>
      </c>
      <c r="D751" s="116" t="s">
        <v>1030</v>
      </c>
      <c r="E751" s="115" t="s">
        <v>8</v>
      </c>
      <c r="F751" s="117">
        <v>7.4999999999999997E-2</v>
      </c>
      <c r="G751" s="118">
        <v>2.06</v>
      </c>
      <c r="H751" s="118">
        <v>0.15</v>
      </c>
      <c r="I751" s="285">
        <f t="shared" si="91"/>
        <v>0.1545</v>
      </c>
    </row>
    <row r="752" spans="1:9" ht="28.5">
      <c r="A752" s="115" t="s">
        <v>437</v>
      </c>
      <c r="B752" s="115" t="s">
        <v>1234</v>
      </c>
      <c r="C752" s="115" t="s">
        <v>431</v>
      </c>
      <c r="D752" s="116" t="s">
        <v>1235</v>
      </c>
      <c r="E752" s="115" t="s">
        <v>8</v>
      </c>
      <c r="F752" s="117">
        <v>1</v>
      </c>
      <c r="G752" s="118">
        <v>12.98</v>
      </c>
      <c r="H752" s="118">
        <v>12.98</v>
      </c>
      <c r="I752" s="285">
        <f t="shared" si="91"/>
        <v>12.98</v>
      </c>
    </row>
    <row r="753" spans="1:9" ht="28.5">
      <c r="A753" s="115" t="s">
        <v>437</v>
      </c>
      <c r="B753" s="115" t="s">
        <v>1031</v>
      </c>
      <c r="C753" s="115" t="s">
        <v>431</v>
      </c>
      <c r="D753" s="116" t="s">
        <v>1032</v>
      </c>
      <c r="E753" s="115" t="s">
        <v>8</v>
      </c>
      <c r="F753" s="117">
        <v>1.2E-2</v>
      </c>
      <c r="G753" s="118">
        <v>62.76</v>
      </c>
      <c r="H753" s="118">
        <v>0.75</v>
      </c>
      <c r="I753" s="285">
        <f t="shared" si="91"/>
        <v>0.75312000000000001</v>
      </c>
    </row>
    <row r="754" spans="1:9">
      <c r="A754" s="104"/>
      <c r="B754" s="104"/>
      <c r="C754" s="104"/>
      <c r="D754" s="104"/>
      <c r="E754" s="104"/>
      <c r="F754" s="105"/>
      <c r="G754" s="106"/>
      <c r="H754" s="107"/>
      <c r="I754" s="285"/>
    </row>
    <row r="755" spans="1:9">
      <c r="A755" s="108"/>
      <c r="B755" s="108"/>
      <c r="C755" s="108"/>
      <c r="D755" s="108"/>
      <c r="E755" s="108"/>
      <c r="F755" s="109"/>
      <c r="G755" s="110"/>
      <c r="H755" s="110"/>
      <c r="I755" s="285"/>
    </row>
    <row r="756" spans="1:9">
      <c r="A756" s="97" t="s">
        <v>1236</v>
      </c>
      <c r="B756" s="97" t="s">
        <v>418</v>
      </c>
      <c r="C756" s="97" t="s">
        <v>419</v>
      </c>
      <c r="D756" s="98" t="s">
        <v>420</v>
      </c>
      <c r="E756" s="97" t="s">
        <v>421</v>
      </c>
      <c r="F756" s="99" t="s">
        <v>422</v>
      </c>
      <c r="G756" s="97" t="s">
        <v>423</v>
      </c>
      <c r="H756" s="97" t="s">
        <v>424</v>
      </c>
      <c r="I756" s="285"/>
    </row>
    <row r="757" spans="1:9" ht="42.75">
      <c r="A757" s="100" t="s">
        <v>425</v>
      </c>
      <c r="B757" s="100" t="s">
        <v>1237</v>
      </c>
      <c r="C757" s="100" t="s">
        <v>431</v>
      </c>
      <c r="D757" s="101" t="s">
        <v>269</v>
      </c>
      <c r="E757" s="100" t="s">
        <v>8</v>
      </c>
      <c r="F757" s="102">
        <v>1</v>
      </c>
      <c r="G757" s="103">
        <v>6.32</v>
      </c>
      <c r="H757" s="103">
        <v>6.32</v>
      </c>
      <c r="I757" s="285">
        <f>SUM(I758:I763)</f>
        <v>6.342880000000001</v>
      </c>
    </row>
    <row r="758" spans="1:9" ht="28.5">
      <c r="A758" s="111" t="s">
        <v>434</v>
      </c>
      <c r="B758" s="111" t="s">
        <v>1025</v>
      </c>
      <c r="C758" s="111" t="s">
        <v>431</v>
      </c>
      <c r="D758" s="112" t="s">
        <v>1026</v>
      </c>
      <c r="E758" s="111" t="s">
        <v>520</v>
      </c>
      <c r="F758" s="113">
        <v>0.1</v>
      </c>
      <c r="G758" s="114">
        <v>18.010000000000002</v>
      </c>
      <c r="H758" s="114">
        <v>1.8</v>
      </c>
      <c r="I758" s="285">
        <f t="shared" ref="I758:I763" si="92">F758*G758</f>
        <v>1.8010000000000002</v>
      </c>
    </row>
    <row r="759" spans="1:9" ht="28.5">
      <c r="A759" s="111" t="s">
        <v>434</v>
      </c>
      <c r="B759" s="111" t="s">
        <v>1013</v>
      </c>
      <c r="C759" s="111" t="s">
        <v>431</v>
      </c>
      <c r="D759" s="112" t="s">
        <v>1014</v>
      </c>
      <c r="E759" s="111" t="s">
        <v>520</v>
      </c>
      <c r="F759" s="113">
        <v>0.1</v>
      </c>
      <c r="G759" s="114">
        <v>22.49</v>
      </c>
      <c r="H759" s="114">
        <v>2.2400000000000002</v>
      </c>
      <c r="I759" s="285">
        <f t="shared" si="92"/>
        <v>2.2490000000000001</v>
      </c>
    </row>
    <row r="760" spans="1:9">
      <c r="A760" s="115" t="s">
        <v>437</v>
      </c>
      <c r="B760" s="115" t="s">
        <v>1027</v>
      </c>
      <c r="C760" s="115" t="s">
        <v>431</v>
      </c>
      <c r="D760" s="116" t="s">
        <v>1028</v>
      </c>
      <c r="E760" s="115" t="s">
        <v>8</v>
      </c>
      <c r="F760" s="117">
        <v>7.0000000000000001E-3</v>
      </c>
      <c r="G760" s="118">
        <v>55.4</v>
      </c>
      <c r="H760" s="118">
        <v>0.38</v>
      </c>
      <c r="I760" s="285">
        <f t="shared" si="92"/>
        <v>0.38779999999999998</v>
      </c>
    </row>
    <row r="761" spans="1:9" ht="28.5">
      <c r="A761" s="115" t="s">
        <v>437</v>
      </c>
      <c r="B761" s="115" t="s">
        <v>1238</v>
      </c>
      <c r="C761" s="115" t="s">
        <v>431</v>
      </c>
      <c r="D761" s="116" t="s">
        <v>1239</v>
      </c>
      <c r="E761" s="115" t="s">
        <v>8</v>
      </c>
      <c r="F761" s="117">
        <v>1</v>
      </c>
      <c r="G761" s="118">
        <v>1.3</v>
      </c>
      <c r="H761" s="118">
        <v>1.3</v>
      </c>
      <c r="I761" s="285">
        <f t="shared" si="92"/>
        <v>1.3</v>
      </c>
    </row>
    <row r="762" spans="1:9">
      <c r="A762" s="115" t="s">
        <v>437</v>
      </c>
      <c r="B762" s="115" t="s">
        <v>1029</v>
      </c>
      <c r="C762" s="115" t="s">
        <v>431</v>
      </c>
      <c r="D762" s="116" t="s">
        <v>1030</v>
      </c>
      <c r="E762" s="115" t="s">
        <v>8</v>
      </c>
      <c r="F762" s="117">
        <v>0.05</v>
      </c>
      <c r="G762" s="118">
        <v>2.06</v>
      </c>
      <c r="H762" s="118">
        <v>0.1</v>
      </c>
      <c r="I762" s="285">
        <f t="shared" si="92"/>
        <v>0.10300000000000001</v>
      </c>
    </row>
    <row r="763" spans="1:9" ht="28.5">
      <c r="A763" s="115" t="s">
        <v>437</v>
      </c>
      <c r="B763" s="115" t="s">
        <v>1031</v>
      </c>
      <c r="C763" s="115" t="s">
        <v>431</v>
      </c>
      <c r="D763" s="116" t="s">
        <v>1032</v>
      </c>
      <c r="E763" s="115" t="s">
        <v>8</v>
      </c>
      <c r="F763" s="117">
        <v>8.0000000000000002E-3</v>
      </c>
      <c r="G763" s="118">
        <v>62.76</v>
      </c>
      <c r="H763" s="118">
        <v>0.5</v>
      </c>
      <c r="I763" s="285">
        <f t="shared" si="92"/>
        <v>0.50207999999999997</v>
      </c>
    </row>
    <row r="764" spans="1:9">
      <c r="A764" s="104"/>
      <c r="B764" s="104"/>
      <c r="C764" s="104"/>
      <c r="D764" s="104"/>
      <c r="E764" s="104"/>
      <c r="F764" s="105"/>
      <c r="G764" s="106"/>
      <c r="H764" s="107"/>
      <c r="I764" s="285"/>
    </row>
    <row r="765" spans="1:9">
      <c r="A765" s="108"/>
      <c r="B765" s="108"/>
      <c r="C765" s="108"/>
      <c r="D765" s="108"/>
      <c r="E765" s="108"/>
      <c r="F765" s="109"/>
      <c r="G765" s="110"/>
      <c r="H765" s="110"/>
      <c r="I765" s="285"/>
    </row>
    <row r="766" spans="1:9">
      <c r="A766" s="97" t="s">
        <v>1240</v>
      </c>
      <c r="B766" s="97" t="s">
        <v>418</v>
      </c>
      <c r="C766" s="97" t="s">
        <v>419</v>
      </c>
      <c r="D766" s="98" t="s">
        <v>420</v>
      </c>
      <c r="E766" s="97" t="s">
        <v>421</v>
      </c>
      <c r="F766" s="99" t="s">
        <v>422</v>
      </c>
      <c r="G766" s="97" t="s">
        <v>423</v>
      </c>
      <c r="H766" s="97" t="s">
        <v>424</v>
      </c>
      <c r="I766" s="285"/>
    </row>
    <row r="767" spans="1:9" ht="42.75">
      <c r="A767" s="100" t="s">
        <v>425</v>
      </c>
      <c r="B767" s="100" t="s">
        <v>1241</v>
      </c>
      <c r="C767" s="100" t="s">
        <v>431</v>
      </c>
      <c r="D767" s="101" t="s">
        <v>271</v>
      </c>
      <c r="E767" s="100" t="s">
        <v>31</v>
      </c>
      <c r="F767" s="102">
        <v>1</v>
      </c>
      <c r="G767" s="103">
        <v>20.99</v>
      </c>
      <c r="H767" s="103">
        <v>20.99</v>
      </c>
      <c r="I767" s="285">
        <f>SUM(I768:I771)</f>
        <v>21.012160000000002</v>
      </c>
    </row>
    <row r="768" spans="1:9" ht="28.5">
      <c r="A768" s="111" t="s">
        <v>434</v>
      </c>
      <c r="B768" s="111" t="s">
        <v>1025</v>
      </c>
      <c r="C768" s="111" t="s">
        <v>431</v>
      </c>
      <c r="D768" s="112" t="s">
        <v>1026</v>
      </c>
      <c r="E768" s="111" t="s">
        <v>520</v>
      </c>
      <c r="F768" s="113">
        <v>0.36899999999999999</v>
      </c>
      <c r="G768" s="114">
        <v>18.010000000000002</v>
      </c>
      <c r="H768" s="114">
        <v>6.64</v>
      </c>
      <c r="I768" s="285">
        <f t="shared" ref="I768:I771" si="93">F768*G768</f>
        <v>6.6456900000000001</v>
      </c>
    </row>
    <row r="769" spans="1:9" ht="28.5">
      <c r="A769" s="111" t="s">
        <v>434</v>
      </c>
      <c r="B769" s="111" t="s">
        <v>1013</v>
      </c>
      <c r="C769" s="111" t="s">
        <v>431</v>
      </c>
      <c r="D769" s="112" t="s">
        <v>1014</v>
      </c>
      <c r="E769" s="111" t="s">
        <v>520</v>
      </c>
      <c r="F769" s="113">
        <v>0.36899999999999999</v>
      </c>
      <c r="G769" s="114">
        <v>22.49</v>
      </c>
      <c r="H769" s="114">
        <v>8.2899999999999991</v>
      </c>
      <c r="I769" s="285">
        <f t="shared" si="93"/>
        <v>8.2988099999999996</v>
      </c>
    </row>
    <row r="770" spans="1:9">
      <c r="A770" s="115" t="s">
        <v>437</v>
      </c>
      <c r="B770" s="115" t="s">
        <v>1029</v>
      </c>
      <c r="C770" s="115" t="s">
        <v>431</v>
      </c>
      <c r="D770" s="116" t="s">
        <v>1030</v>
      </c>
      <c r="E770" s="115" t="s">
        <v>8</v>
      </c>
      <c r="F770" s="117">
        <v>0.123</v>
      </c>
      <c r="G770" s="118">
        <v>2.06</v>
      </c>
      <c r="H770" s="118">
        <v>0.25</v>
      </c>
      <c r="I770" s="285">
        <f t="shared" si="93"/>
        <v>0.25337999999999999</v>
      </c>
    </row>
    <row r="771" spans="1:9">
      <c r="A771" s="115" t="s">
        <v>437</v>
      </c>
      <c r="B771" s="115" t="s">
        <v>1242</v>
      </c>
      <c r="C771" s="115" t="s">
        <v>431</v>
      </c>
      <c r="D771" s="116" t="s">
        <v>1243</v>
      </c>
      <c r="E771" s="115" t="s">
        <v>31</v>
      </c>
      <c r="F771" s="117">
        <v>1.0609999999999999</v>
      </c>
      <c r="G771" s="118">
        <v>5.48</v>
      </c>
      <c r="H771" s="118">
        <v>5.81</v>
      </c>
      <c r="I771" s="285">
        <f t="shared" si="93"/>
        <v>5.8142800000000001</v>
      </c>
    </row>
    <row r="772" spans="1:9">
      <c r="A772" s="104"/>
      <c r="B772" s="104"/>
      <c r="C772" s="104"/>
      <c r="D772" s="104"/>
      <c r="E772" s="104"/>
      <c r="F772" s="105"/>
      <c r="G772" s="106"/>
      <c r="H772" s="107"/>
      <c r="I772" s="285"/>
    </row>
    <row r="773" spans="1:9">
      <c r="A773" s="108"/>
      <c r="B773" s="108"/>
      <c r="C773" s="108"/>
      <c r="D773" s="108"/>
      <c r="E773" s="108"/>
      <c r="F773" s="109"/>
      <c r="G773" s="110"/>
      <c r="H773" s="110"/>
      <c r="I773" s="285"/>
    </row>
    <row r="774" spans="1:9">
      <c r="A774" s="97" t="s">
        <v>1244</v>
      </c>
      <c r="B774" s="97" t="s">
        <v>418</v>
      </c>
      <c r="C774" s="97" t="s">
        <v>419</v>
      </c>
      <c r="D774" s="98" t="s">
        <v>420</v>
      </c>
      <c r="E774" s="97" t="s">
        <v>421</v>
      </c>
      <c r="F774" s="99" t="s">
        <v>422</v>
      </c>
      <c r="G774" s="97" t="s">
        <v>423</v>
      </c>
      <c r="H774" s="97" t="s">
        <v>424</v>
      </c>
      <c r="I774" s="285"/>
    </row>
    <row r="775" spans="1:9" ht="42.75">
      <c r="A775" s="100" t="s">
        <v>425</v>
      </c>
      <c r="B775" s="100" t="s">
        <v>1245</v>
      </c>
      <c r="C775" s="100" t="s">
        <v>431</v>
      </c>
      <c r="D775" s="101" t="s">
        <v>1246</v>
      </c>
      <c r="E775" s="100" t="s">
        <v>8</v>
      </c>
      <c r="F775" s="102">
        <v>1</v>
      </c>
      <c r="G775" s="103">
        <v>4.5199999999999996</v>
      </c>
      <c r="H775" s="103">
        <v>4.5199999999999996</v>
      </c>
      <c r="I775" s="285">
        <f>SUM(I776:I781)</f>
        <v>4.5416799999999995</v>
      </c>
    </row>
    <row r="776" spans="1:9" ht="28.5">
      <c r="A776" s="111" t="s">
        <v>434</v>
      </c>
      <c r="B776" s="111" t="s">
        <v>1025</v>
      </c>
      <c r="C776" s="111" t="s">
        <v>431</v>
      </c>
      <c r="D776" s="112" t="s">
        <v>1026</v>
      </c>
      <c r="E776" s="111" t="s">
        <v>520</v>
      </c>
      <c r="F776" s="113">
        <v>0.06</v>
      </c>
      <c r="G776" s="114">
        <v>18.010000000000002</v>
      </c>
      <c r="H776" s="114">
        <v>1.08</v>
      </c>
      <c r="I776" s="285">
        <f t="shared" ref="I776:I781" si="94">F776*G776</f>
        <v>1.0806</v>
      </c>
    </row>
    <row r="777" spans="1:9" ht="28.5">
      <c r="A777" s="111" t="s">
        <v>434</v>
      </c>
      <c r="B777" s="111" t="s">
        <v>1013</v>
      </c>
      <c r="C777" s="111" t="s">
        <v>431</v>
      </c>
      <c r="D777" s="112" t="s">
        <v>1014</v>
      </c>
      <c r="E777" s="111" t="s">
        <v>520</v>
      </c>
      <c r="F777" s="113">
        <v>0.06</v>
      </c>
      <c r="G777" s="114">
        <v>22.49</v>
      </c>
      <c r="H777" s="114">
        <v>1.34</v>
      </c>
      <c r="I777" s="285">
        <f t="shared" si="94"/>
        <v>1.3493999999999999</v>
      </c>
    </row>
    <row r="778" spans="1:9">
      <c r="A778" s="115" t="s">
        <v>437</v>
      </c>
      <c r="B778" s="115" t="s">
        <v>1027</v>
      </c>
      <c r="C778" s="115" t="s">
        <v>431</v>
      </c>
      <c r="D778" s="116" t="s">
        <v>1028</v>
      </c>
      <c r="E778" s="115" t="s">
        <v>8</v>
      </c>
      <c r="F778" s="117">
        <v>7.0000000000000001E-3</v>
      </c>
      <c r="G778" s="118">
        <v>55.4</v>
      </c>
      <c r="H778" s="118">
        <v>0.38</v>
      </c>
      <c r="I778" s="285">
        <f t="shared" si="94"/>
        <v>0.38779999999999998</v>
      </c>
    </row>
    <row r="779" spans="1:9">
      <c r="A779" s="115" t="s">
        <v>437</v>
      </c>
      <c r="B779" s="115" t="s">
        <v>1029</v>
      </c>
      <c r="C779" s="115" t="s">
        <v>431</v>
      </c>
      <c r="D779" s="116" t="s">
        <v>1030</v>
      </c>
      <c r="E779" s="115" t="s">
        <v>8</v>
      </c>
      <c r="F779" s="117">
        <v>0.03</v>
      </c>
      <c r="G779" s="118">
        <v>2.06</v>
      </c>
      <c r="H779" s="118">
        <v>0.06</v>
      </c>
      <c r="I779" s="285">
        <f t="shared" si="94"/>
        <v>6.1800000000000001E-2</v>
      </c>
    </row>
    <row r="780" spans="1:9">
      <c r="A780" s="115" t="s">
        <v>437</v>
      </c>
      <c r="B780" s="115" t="s">
        <v>1247</v>
      </c>
      <c r="C780" s="115" t="s">
        <v>431</v>
      </c>
      <c r="D780" s="116" t="s">
        <v>1248</v>
      </c>
      <c r="E780" s="115" t="s">
        <v>8</v>
      </c>
      <c r="F780" s="117">
        <v>1</v>
      </c>
      <c r="G780" s="118">
        <v>1.1599999999999999</v>
      </c>
      <c r="H780" s="118">
        <v>1.1599999999999999</v>
      </c>
      <c r="I780" s="285">
        <f t="shared" si="94"/>
        <v>1.1599999999999999</v>
      </c>
    </row>
    <row r="781" spans="1:9" ht="28.5">
      <c r="A781" s="115" t="s">
        <v>437</v>
      </c>
      <c r="B781" s="115" t="s">
        <v>1031</v>
      </c>
      <c r="C781" s="115" t="s">
        <v>431</v>
      </c>
      <c r="D781" s="116" t="s">
        <v>1032</v>
      </c>
      <c r="E781" s="115" t="s">
        <v>8</v>
      </c>
      <c r="F781" s="117">
        <v>8.0000000000000002E-3</v>
      </c>
      <c r="G781" s="118">
        <v>62.76</v>
      </c>
      <c r="H781" s="118">
        <v>0.5</v>
      </c>
      <c r="I781" s="285">
        <f t="shared" si="94"/>
        <v>0.50207999999999997</v>
      </c>
    </row>
    <row r="782" spans="1:9">
      <c r="A782" s="104"/>
      <c r="B782" s="104"/>
      <c r="C782" s="104"/>
      <c r="D782" s="104"/>
      <c r="E782" s="104"/>
      <c r="F782" s="105"/>
      <c r="G782" s="106"/>
      <c r="H782" s="107"/>
      <c r="I782" s="285"/>
    </row>
    <row r="783" spans="1:9">
      <c r="A783" s="108"/>
      <c r="B783" s="108"/>
      <c r="C783" s="108"/>
      <c r="D783" s="108"/>
      <c r="E783" s="108"/>
      <c r="F783" s="109"/>
      <c r="G783" s="110"/>
      <c r="H783" s="110"/>
      <c r="I783" s="285"/>
    </row>
    <row r="784" spans="1:9">
      <c r="A784" s="92" t="s">
        <v>1249</v>
      </c>
      <c r="B784" s="92"/>
      <c r="C784" s="92"/>
      <c r="D784" s="93" t="s">
        <v>276</v>
      </c>
      <c r="E784" s="94"/>
      <c r="F784" s="95"/>
      <c r="G784" s="92"/>
      <c r="H784" s="96"/>
      <c r="I784" s="285"/>
    </row>
    <row r="785" spans="1:9">
      <c r="A785" s="97" t="s">
        <v>1250</v>
      </c>
      <c r="B785" s="97" t="s">
        <v>418</v>
      </c>
      <c r="C785" s="97" t="s">
        <v>419</v>
      </c>
      <c r="D785" s="98" t="s">
        <v>420</v>
      </c>
      <c r="E785" s="97" t="s">
        <v>421</v>
      </c>
      <c r="F785" s="99" t="s">
        <v>422</v>
      </c>
      <c r="G785" s="97" t="s">
        <v>423</v>
      </c>
      <c r="H785" s="97" t="s">
        <v>424</v>
      </c>
      <c r="I785" s="285"/>
    </row>
    <row r="786" spans="1:9" ht="42.75">
      <c r="A786" s="100" t="s">
        <v>425</v>
      </c>
      <c r="B786" s="100" t="s">
        <v>1251</v>
      </c>
      <c r="C786" s="100" t="s">
        <v>431</v>
      </c>
      <c r="D786" s="101" t="s">
        <v>278</v>
      </c>
      <c r="E786" s="100" t="s">
        <v>31</v>
      </c>
      <c r="F786" s="102">
        <v>1</v>
      </c>
      <c r="G786" s="103">
        <v>9.5299999999999994</v>
      </c>
      <c r="H786" s="103">
        <v>9.5299999999999994</v>
      </c>
      <c r="I786" s="285">
        <f>SUM(I787:I790)</f>
        <v>9.5368199999999987</v>
      </c>
    </row>
    <row r="787" spans="1:9" ht="28.5">
      <c r="A787" s="111" t="s">
        <v>434</v>
      </c>
      <c r="B787" s="111" t="s">
        <v>1252</v>
      </c>
      <c r="C787" s="111" t="s">
        <v>431</v>
      </c>
      <c r="D787" s="112" t="s">
        <v>1253</v>
      </c>
      <c r="E787" s="111" t="s">
        <v>520</v>
      </c>
      <c r="F787" s="113">
        <v>8.9999999999999993E-3</v>
      </c>
      <c r="G787" s="114">
        <v>23.36</v>
      </c>
      <c r="H787" s="114">
        <v>0.21</v>
      </c>
      <c r="I787" s="285">
        <f t="shared" ref="I787:I790" si="95">F787*G787</f>
        <v>0.21023999999999998</v>
      </c>
    </row>
    <row r="788" spans="1:9" ht="28.5">
      <c r="A788" s="111" t="s">
        <v>434</v>
      </c>
      <c r="B788" s="111" t="s">
        <v>1254</v>
      </c>
      <c r="C788" s="111" t="s">
        <v>431</v>
      </c>
      <c r="D788" s="112" t="s">
        <v>1255</v>
      </c>
      <c r="E788" s="111" t="s">
        <v>520</v>
      </c>
      <c r="F788" s="113">
        <v>8.9999999999999993E-3</v>
      </c>
      <c r="G788" s="114">
        <v>17.850000000000001</v>
      </c>
      <c r="H788" s="114">
        <v>0.16</v>
      </c>
      <c r="I788" s="285">
        <f t="shared" si="95"/>
        <v>0.16064999999999999</v>
      </c>
    </row>
    <row r="789" spans="1:9" ht="42.75">
      <c r="A789" s="115" t="s">
        <v>437</v>
      </c>
      <c r="B789" s="115" t="s">
        <v>1256</v>
      </c>
      <c r="C789" s="115" t="s">
        <v>431</v>
      </c>
      <c r="D789" s="116" t="s">
        <v>1257</v>
      </c>
      <c r="E789" s="115" t="s">
        <v>31</v>
      </c>
      <c r="F789" s="117">
        <v>1.0269999999999999</v>
      </c>
      <c r="G789" s="118">
        <v>8.89</v>
      </c>
      <c r="H789" s="118">
        <v>9.1300000000000008</v>
      </c>
      <c r="I789" s="285">
        <f t="shared" si="95"/>
        <v>9.1300299999999996</v>
      </c>
    </row>
    <row r="790" spans="1:9" ht="28.5">
      <c r="A790" s="115" t="s">
        <v>437</v>
      </c>
      <c r="B790" s="115" t="s">
        <v>1258</v>
      </c>
      <c r="C790" s="115" t="s">
        <v>431</v>
      </c>
      <c r="D790" s="116" t="s">
        <v>1259</v>
      </c>
      <c r="E790" s="115" t="s">
        <v>8</v>
      </c>
      <c r="F790" s="117">
        <v>0.01</v>
      </c>
      <c r="G790" s="118">
        <v>3.59</v>
      </c>
      <c r="H790" s="118">
        <v>0.03</v>
      </c>
      <c r="I790" s="285">
        <f t="shared" si="95"/>
        <v>3.5900000000000001E-2</v>
      </c>
    </row>
    <row r="791" spans="1:9">
      <c r="A791" s="104"/>
      <c r="B791" s="104"/>
      <c r="C791" s="104"/>
      <c r="D791" s="104"/>
      <c r="E791" s="104"/>
      <c r="F791" s="105"/>
      <c r="G791" s="106"/>
      <c r="H791" s="107"/>
      <c r="I791" s="285"/>
    </row>
    <row r="792" spans="1:9">
      <c r="A792" s="108"/>
      <c r="B792" s="108"/>
      <c r="C792" s="108"/>
      <c r="D792" s="108"/>
      <c r="E792" s="108"/>
      <c r="F792" s="109"/>
      <c r="G792" s="110"/>
      <c r="H792" s="110"/>
      <c r="I792" s="285"/>
    </row>
    <row r="793" spans="1:9">
      <c r="A793" s="97" t="s">
        <v>1260</v>
      </c>
      <c r="B793" s="97" t="s">
        <v>418</v>
      </c>
      <c r="C793" s="97" t="s">
        <v>419</v>
      </c>
      <c r="D793" s="98" t="s">
        <v>420</v>
      </c>
      <c r="E793" s="97" t="s">
        <v>421</v>
      </c>
      <c r="F793" s="99" t="s">
        <v>422</v>
      </c>
      <c r="G793" s="97" t="s">
        <v>423</v>
      </c>
      <c r="H793" s="97" t="s">
        <v>424</v>
      </c>
      <c r="I793" s="285"/>
    </row>
    <row r="794" spans="1:9" ht="57">
      <c r="A794" s="100" t="s">
        <v>425</v>
      </c>
      <c r="B794" s="100" t="s">
        <v>1261</v>
      </c>
      <c r="C794" s="100" t="s">
        <v>431</v>
      </c>
      <c r="D794" s="101" t="s">
        <v>280</v>
      </c>
      <c r="E794" s="100" t="s">
        <v>8</v>
      </c>
      <c r="F794" s="102">
        <v>1</v>
      </c>
      <c r="G794" s="103">
        <v>693.94</v>
      </c>
      <c r="H794" s="103">
        <v>693.94</v>
      </c>
      <c r="I794" s="285">
        <f>SUM(I795:I797)</f>
        <v>693.94519300000002</v>
      </c>
    </row>
    <row r="795" spans="1:9" ht="28.5">
      <c r="A795" s="111" t="s">
        <v>434</v>
      </c>
      <c r="B795" s="111" t="s">
        <v>1254</v>
      </c>
      <c r="C795" s="111" t="s">
        <v>431</v>
      </c>
      <c r="D795" s="112" t="s">
        <v>1255</v>
      </c>
      <c r="E795" s="111" t="s">
        <v>520</v>
      </c>
      <c r="F795" s="113">
        <v>1.5233000000000001</v>
      </c>
      <c r="G795" s="114">
        <v>17.850000000000001</v>
      </c>
      <c r="H795" s="114">
        <v>27.19</v>
      </c>
      <c r="I795" s="285">
        <f t="shared" ref="I795:I797" si="96">F795*G795</f>
        <v>27.190905000000004</v>
      </c>
    </row>
    <row r="796" spans="1:9" ht="28.5">
      <c r="A796" s="111" t="s">
        <v>434</v>
      </c>
      <c r="B796" s="111" t="s">
        <v>1252</v>
      </c>
      <c r="C796" s="111" t="s">
        <v>431</v>
      </c>
      <c r="D796" s="112" t="s">
        <v>1253</v>
      </c>
      <c r="E796" s="111" t="s">
        <v>520</v>
      </c>
      <c r="F796" s="113">
        <v>1.5233000000000001</v>
      </c>
      <c r="G796" s="114">
        <v>23.36</v>
      </c>
      <c r="H796" s="114">
        <v>35.58</v>
      </c>
      <c r="I796" s="285">
        <f t="shared" si="96"/>
        <v>35.584288000000001</v>
      </c>
    </row>
    <row r="797" spans="1:9" ht="42.75">
      <c r="A797" s="115" t="s">
        <v>437</v>
      </c>
      <c r="B797" s="115" t="s">
        <v>1262</v>
      </c>
      <c r="C797" s="115" t="s">
        <v>431</v>
      </c>
      <c r="D797" s="116" t="s">
        <v>1263</v>
      </c>
      <c r="E797" s="115" t="s">
        <v>8</v>
      </c>
      <c r="F797" s="117">
        <v>1</v>
      </c>
      <c r="G797" s="118">
        <v>631.16999999999996</v>
      </c>
      <c r="H797" s="118">
        <v>631.16999999999996</v>
      </c>
      <c r="I797" s="285">
        <f t="shared" si="96"/>
        <v>631.16999999999996</v>
      </c>
    </row>
    <row r="798" spans="1:9">
      <c r="A798" s="104"/>
      <c r="B798" s="104"/>
      <c r="C798" s="104"/>
      <c r="D798" s="104"/>
      <c r="E798" s="104"/>
      <c r="F798" s="105"/>
      <c r="G798" s="106"/>
      <c r="H798" s="107"/>
      <c r="I798" s="285"/>
    </row>
    <row r="799" spans="1:9">
      <c r="A799" s="108"/>
      <c r="B799" s="108"/>
      <c r="C799" s="108"/>
      <c r="D799" s="108"/>
      <c r="E799" s="108"/>
      <c r="F799" s="109"/>
      <c r="G799" s="110"/>
      <c r="H799" s="110"/>
      <c r="I799" s="285"/>
    </row>
    <row r="800" spans="1:9">
      <c r="A800" s="97" t="s">
        <v>1264</v>
      </c>
      <c r="B800" s="97" t="s">
        <v>418</v>
      </c>
      <c r="C800" s="97" t="s">
        <v>419</v>
      </c>
      <c r="D800" s="98" t="s">
        <v>420</v>
      </c>
      <c r="E800" s="97" t="s">
        <v>421</v>
      </c>
      <c r="F800" s="99" t="s">
        <v>422</v>
      </c>
      <c r="G800" s="97" t="s">
        <v>423</v>
      </c>
      <c r="H800" s="97" t="s">
        <v>424</v>
      </c>
      <c r="I800" s="285"/>
    </row>
    <row r="801" spans="1:9" ht="28.5">
      <c r="A801" s="100" t="s">
        <v>425</v>
      </c>
      <c r="B801" s="100" t="s">
        <v>1265</v>
      </c>
      <c r="C801" s="100" t="s">
        <v>431</v>
      </c>
      <c r="D801" s="101" t="s">
        <v>282</v>
      </c>
      <c r="E801" s="100" t="s">
        <v>8</v>
      </c>
      <c r="F801" s="102">
        <v>1</v>
      </c>
      <c r="G801" s="103">
        <v>135.93</v>
      </c>
      <c r="H801" s="103">
        <v>135.93</v>
      </c>
      <c r="I801" s="285">
        <f>SUM(I802:I805)</f>
        <v>135.938897</v>
      </c>
    </row>
    <row r="802" spans="1:9" ht="28.5">
      <c r="A802" s="111" t="s">
        <v>434</v>
      </c>
      <c r="B802" s="111" t="s">
        <v>1252</v>
      </c>
      <c r="C802" s="111" t="s">
        <v>431</v>
      </c>
      <c r="D802" s="112" t="s">
        <v>1253</v>
      </c>
      <c r="E802" s="111" t="s">
        <v>520</v>
      </c>
      <c r="F802" s="113">
        <v>0.40570000000000001</v>
      </c>
      <c r="G802" s="114">
        <v>23.36</v>
      </c>
      <c r="H802" s="114">
        <v>9.4700000000000006</v>
      </c>
      <c r="I802" s="285">
        <f t="shared" ref="I802:I805" si="97">F802*G802</f>
        <v>9.4771520000000002</v>
      </c>
    </row>
    <row r="803" spans="1:9" ht="28.5">
      <c r="A803" s="111" t="s">
        <v>434</v>
      </c>
      <c r="B803" s="111" t="s">
        <v>1254</v>
      </c>
      <c r="C803" s="111" t="s">
        <v>431</v>
      </c>
      <c r="D803" s="112" t="s">
        <v>1255</v>
      </c>
      <c r="E803" s="111" t="s">
        <v>520</v>
      </c>
      <c r="F803" s="113">
        <v>0.40570000000000001</v>
      </c>
      <c r="G803" s="114">
        <v>17.850000000000001</v>
      </c>
      <c r="H803" s="114">
        <v>7.24</v>
      </c>
      <c r="I803" s="285">
        <f t="shared" si="97"/>
        <v>7.2417450000000008</v>
      </c>
    </row>
    <row r="804" spans="1:9">
      <c r="A804" s="115" t="s">
        <v>437</v>
      </c>
      <c r="B804" s="115" t="s">
        <v>1266</v>
      </c>
      <c r="C804" s="115" t="s">
        <v>431</v>
      </c>
      <c r="D804" s="116" t="s">
        <v>1267</v>
      </c>
      <c r="E804" s="115" t="s">
        <v>8</v>
      </c>
      <c r="F804" s="117">
        <v>1</v>
      </c>
      <c r="G804" s="118">
        <v>114.09</v>
      </c>
      <c r="H804" s="118">
        <v>114.09</v>
      </c>
      <c r="I804" s="285">
        <f t="shared" si="97"/>
        <v>114.09</v>
      </c>
    </row>
    <row r="805" spans="1:9" ht="42.75">
      <c r="A805" s="115" t="s">
        <v>437</v>
      </c>
      <c r="B805" s="115" t="s">
        <v>1268</v>
      </c>
      <c r="C805" s="115" t="s">
        <v>431</v>
      </c>
      <c r="D805" s="116" t="s">
        <v>1269</v>
      </c>
      <c r="E805" s="115" t="s">
        <v>8</v>
      </c>
      <c r="F805" s="117">
        <v>3</v>
      </c>
      <c r="G805" s="118">
        <v>1.71</v>
      </c>
      <c r="H805" s="118">
        <v>5.13</v>
      </c>
      <c r="I805" s="285">
        <f t="shared" si="97"/>
        <v>5.13</v>
      </c>
    </row>
    <row r="806" spans="1:9">
      <c r="A806" s="104"/>
      <c r="B806" s="104"/>
      <c r="C806" s="104"/>
      <c r="D806" s="104"/>
      <c r="E806" s="104"/>
      <c r="F806" s="105"/>
      <c r="G806" s="106"/>
      <c r="H806" s="107"/>
      <c r="I806" s="285"/>
    </row>
    <row r="807" spans="1:9">
      <c r="A807" s="108"/>
      <c r="B807" s="108"/>
      <c r="C807" s="108"/>
      <c r="D807" s="108"/>
      <c r="E807" s="108"/>
      <c r="F807" s="109"/>
      <c r="G807" s="110"/>
      <c r="H807" s="110"/>
      <c r="I807" s="285"/>
    </row>
    <row r="808" spans="1:9">
      <c r="A808" s="97" t="s">
        <v>1270</v>
      </c>
      <c r="B808" s="97" t="s">
        <v>418</v>
      </c>
      <c r="C808" s="97" t="s">
        <v>419</v>
      </c>
      <c r="D808" s="98" t="s">
        <v>420</v>
      </c>
      <c r="E808" s="97" t="s">
        <v>421</v>
      </c>
      <c r="F808" s="99" t="s">
        <v>422</v>
      </c>
      <c r="G808" s="97" t="s">
        <v>423</v>
      </c>
      <c r="H808" s="97" t="s">
        <v>424</v>
      </c>
      <c r="I808" s="285"/>
    </row>
    <row r="809" spans="1:9" ht="28.5">
      <c r="A809" s="100" t="s">
        <v>425</v>
      </c>
      <c r="B809" s="100" t="s">
        <v>1271</v>
      </c>
      <c r="C809" s="100" t="s">
        <v>427</v>
      </c>
      <c r="D809" s="101" t="s">
        <v>285</v>
      </c>
      <c r="E809" s="100" t="s">
        <v>31</v>
      </c>
      <c r="F809" s="102">
        <v>1</v>
      </c>
      <c r="G809" s="119" t="s">
        <v>1272</v>
      </c>
      <c r="H809" s="119" t="s">
        <v>1272</v>
      </c>
      <c r="I809" s="285">
        <f>SUM(I810:I813)</f>
        <v>20.018999999999998</v>
      </c>
    </row>
    <row r="810" spans="1:9" ht="28.5">
      <c r="A810" s="111" t="s">
        <v>434</v>
      </c>
      <c r="B810" s="111" t="s">
        <v>1273</v>
      </c>
      <c r="C810" s="111" t="s">
        <v>427</v>
      </c>
      <c r="D810" s="112" t="s">
        <v>1274</v>
      </c>
      <c r="E810" s="111" t="s">
        <v>464</v>
      </c>
      <c r="F810" s="113">
        <v>0.3</v>
      </c>
      <c r="G810" s="121" t="s">
        <v>1275</v>
      </c>
      <c r="H810" s="121" t="s">
        <v>1276</v>
      </c>
      <c r="I810" s="285">
        <f t="shared" ref="I810:I812" si="98">F810*G810</f>
        <v>5.3550000000000004</v>
      </c>
    </row>
    <row r="811" spans="1:9" ht="28.5">
      <c r="A811" s="111" t="s">
        <v>434</v>
      </c>
      <c r="B811" s="111" t="s">
        <v>1277</v>
      </c>
      <c r="C811" s="111" t="s">
        <v>427</v>
      </c>
      <c r="D811" s="112" t="s">
        <v>1253</v>
      </c>
      <c r="E811" s="111" t="s">
        <v>464</v>
      </c>
      <c r="F811" s="113">
        <v>0.3</v>
      </c>
      <c r="G811" s="121" t="s">
        <v>1278</v>
      </c>
      <c r="H811" s="121" t="s">
        <v>1279</v>
      </c>
      <c r="I811" s="285">
        <f t="shared" si="98"/>
        <v>7.008</v>
      </c>
    </row>
    <row r="812" spans="1:9" ht="28.5">
      <c r="A812" s="115" t="s">
        <v>437</v>
      </c>
      <c r="B812" s="115" t="s">
        <v>1280</v>
      </c>
      <c r="C812" s="115" t="s">
        <v>427</v>
      </c>
      <c r="D812" s="116" t="s">
        <v>1281</v>
      </c>
      <c r="E812" s="115" t="s">
        <v>472</v>
      </c>
      <c r="F812" s="117">
        <v>1.1000000000000001</v>
      </c>
      <c r="G812" s="120" t="s">
        <v>1282</v>
      </c>
      <c r="H812" s="120" t="s">
        <v>1283</v>
      </c>
      <c r="I812" s="285">
        <f t="shared" si="98"/>
        <v>7.6560000000000006</v>
      </c>
    </row>
    <row r="813" spans="1:9">
      <c r="A813" s="104"/>
      <c r="B813" s="104"/>
      <c r="C813" s="104"/>
      <c r="D813" s="104"/>
      <c r="E813" s="104"/>
      <c r="F813" s="105"/>
      <c r="G813" s="106"/>
      <c r="H813" s="107"/>
      <c r="I813" s="285"/>
    </row>
    <row r="814" spans="1:9">
      <c r="A814" s="108"/>
      <c r="B814" s="108"/>
      <c r="C814" s="108"/>
      <c r="D814" s="108"/>
      <c r="E814" s="108"/>
      <c r="F814" s="109"/>
      <c r="G814" s="110"/>
      <c r="H814" s="110"/>
      <c r="I814" s="285"/>
    </row>
    <row r="815" spans="1:9">
      <c r="A815" s="97" t="s">
        <v>1284</v>
      </c>
      <c r="B815" s="97" t="s">
        <v>418</v>
      </c>
      <c r="C815" s="97" t="s">
        <v>419</v>
      </c>
      <c r="D815" s="98" t="s">
        <v>420</v>
      </c>
      <c r="E815" s="97" t="s">
        <v>421</v>
      </c>
      <c r="F815" s="99" t="s">
        <v>422</v>
      </c>
      <c r="G815" s="97" t="s">
        <v>423</v>
      </c>
      <c r="H815" s="97" t="s">
        <v>424</v>
      </c>
      <c r="I815" s="285"/>
    </row>
    <row r="816" spans="1:9" ht="42.75">
      <c r="A816" s="100" t="s">
        <v>425</v>
      </c>
      <c r="B816" s="100" t="s">
        <v>1285</v>
      </c>
      <c r="C816" s="100" t="s">
        <v>431</v>
      </c>
      <c r="D816" s="101" t="s">
        <v>287</v>
      </c>
      <c r="E816" s="100" t="s">
        <v>31</v>
      </c>
      <c r="F816" s="102">
        <v>1</v>
      </c>
      <c r="G816" s="103">
        <v>7.32</v>
      </c>
      <c r="H816" s="103">
        <v>7.32</v>
      </c>
      <c r="I816" s="285">
        <f>SUM(I817:I820)</f>
        <v>7.3453119999999998</v>
      </c>
    </row>
    <row r="817" spans="1:18" ht="28.5">
      <c r="A817" s="111" t="s">
        <v>434</v>
      </c>
      <c r="B817" s="111" t="s">
        <v>1254</v>
      </c>
      <c r="C817" s="111" t="s">
        <v>431</v>
      </c>
      <c r="D817" s="112" t="s">
        <v>1255</v>
      </c>
      <c r="E817" s="111" t="s">
        <v>520</v>
      </c>
      <c r="F817" s="113">
        <v>6.7199999999999996E-2</v>
      </c>
      <c r="G817" s="114">
        <v>17.850000000000001</v>
      </c>
      <c r="H817" s="114">
        <v>1.19</v>
      </c>
      <c r="I817" s="285">
        <f t="shared" ref="I817:I819" si="99">F817*G817</f>
        <v>1.1995199999999999</v>
      </c>
    </row>
    <row r="818" spans="1:18" ht="28.5">
      <c r="A818" s="111" t="s">
        <v>434</v>
      </c>
      <c r="B818" s="111" t="s">
        <v>1252</v>
      </c>
      <c r="C818" s="111" t="s">
        <v>431</v>
      </c>
      <c r="D818" s="112" t="s">
        <v>1253</v>
      </c>
      <c r="E818" s="111" t="s">
        <v>520</v>
      </c>
      <c r="F818" s="113">
        <v>6.7199999999999996E-2</v>
      </c>
      <c r="G818" s="114">
        <v>23.36</v>
      </c>
      <c r="H818" s="114">
        <v>1.56</v>
      </c>
      <c r="I818" s="285">
        <f t="shared" si="99"/>
        <v>1.5697919999999999</v>
      </c>
    </row>
    <row r="819" spans="1:18" ht="42.75">
      <c r="A819" s="115" t="s">
        <v>437</v>
      </c>
      <c r="B819" s="115" t="s">
        <v>1286</v>
      </c>
      <c r="C819" s="115" t="s">
        <v>431</v>
      </c>
      <c r="D819" s="116" t="s">
        <v>1287</v>
      </c>
      <c r="E819" s="115" t="s">
        <v>31</v>
      </c>
      <c r="F819" s="117">
        <v>1.1000000000000001</v>
      </c>
      <c r="G819" s="118">
        <v>4.16</v>
      </c>
      <c r="H819" s="118">
        <v>4.57</v>
      </c>
      <c r="I819" s="285">
        <f t="shared" si="99"/>
        <v>4.5760000000000005</v>
      </c>
    </row>
    <row r="820" spans="1:18">
      <c r="A820" s="104"/>
      <c r="B820" s="104"/>
      <c r="C820" s="104"/>
      <c r="D820" s="104"/>
      <c r="E820" s="104"/>
      <c r="F820" s="105"/>
      <c r="G820" s="106"/>
      <c r="H820" s="107"/>
      <c r="I820" s="285"/>
    </row>
    <row r="821" spans="1:18">
      <c r="A821" s="108"/>
      <c r="B821" s="108"/>
      <c r="C821" s="108"/>
      <c r="D821" s="108"/>
      <c r="E821" s="108"/>
      <c r="F821" s="109"/>
      <c r="G821" s="110"/>
      <c r="H821" s="110"/>
      <c r="I821" s="285"/>
    </row>
    <row r="822" spans="1:18">
      <c r="A822" s="97" t="s">
        <v>1288</v>
      </c>
      <c r="B822" s="97" t="s">
        <v>418</v>
      </c>
      <c r="C822" s="97" t="s">
        <v>419</v>
      </c>
      <c r="D822" s="98" t="s">
        <v>420</v>
      </c>
      <c r="E822" s="97" t="s">
        <v>421</v>
      </c>
      <c r="F822" s="99" t="s">
        <v>422</v>
      </c>
      <c r="G822" s="97" t="s">
        <v>423</v>
      </c>
      <c r="H822" s="97" t="s">
        <v>424</v>
      </c>
      <c r="I822" s="285"/>
    </row>
    <row r="823" spans="1:18" ht="85.5">
      <c r="A823" s="100" t="s">
        <v>425</v>
      </c>
      <c r="B823" s="100" t="s">
        <v>1289</v>
      </c>
      <c r="C823" s="100" t="s">
        <v>427</v>
      </c>
      <c r="D823" s="101" t="s">
        <v>290</v>
      </c>
      <c r="E823" s="100" t="s">
        <v>8</v>
      </c>
      <c r="F823" s="102">
        <v>1</v>
      </c>
      <c r="G823" s="119">
        <v>607.29</v>
      </c>
      <c r="H823" s="119">
        <v>607.29</v>
      </c>
      <c r="I823" s="285">
        <f>SUM(I824:I831)</f>
        <v>607.33059800000001</v>
      </c>
      <c r="J823" s="100" t="s">
        <v>425</v>
      </c>
      <c r="K823" s="100" t="s">
        <v>1289</v>
      </c>
      <c r="L823" s="100" t="s">
        <v>427</v>
      </c>
      <c r="M823" s="101" t="s">
        <v>290</v>
      </c>
      <c r="N823" s="100" t="s">
        <v>8</v>
      </c>
      <c r="O823" s="102">
        <v>1</v>
      </c>
      <c r="P823" s="119" t="s">
        <v>1290</v>
      </c>
      <c r="Q823" s="119" t="s">
        <v>1290</v>
      </c>
      <c r="R823" s="285">
        <f>SUM(R824:R831)</f>
        <v>610.87577280000005</v>
      </c>
    </row>
    <row r="824" spans="1:18" ht="28.5">
      <c r="A824" s="283" t="s">
        <v>434</v>
      </c>
      <c r="B824" s="283" t="s">
        <v>1055</v>
      </c>
      <c r="C824" s="283" t="s">
        <v>427</v>
      </c>
      <c r="D824" s="284" t="s">
        <v>1056</v>
      </c>
      <c r="E824" s="283" t="s">
        <v>468</v>
      </c>
      <c r="F824" s="292">
        <v>0.34451999999999999</v>
      </c>
      <c r="G824" s="293">
        <v>57.15</v>
      </c>
      <c r="H824" s="121">
        <v>19.68</v>
      </c>
      <c r="I824" s="285">
        <f t="shared" ref="I824:I831" si="100">F824*G824</f>
        <v>19.689318</v>
      </c>
      <c r="J824" s="281" t="s">
        <v>434</v>
      </c>
      <c r="K824" s="281" t="s">
        <v>1046</v>
      </c>
      <c r="L824" s="281" t="s">
        <v>427</v>
      </c>
      <c r="M824" s="282" t="s">
        <v>1047</v>
      </c>
      <c r="N824" s="281" t="s">
        <v>451</v>
      </c>
      <c r="O824" s="294">
        <v>0.38279999999999997</v>
      </c>
      <c r="P824" s="295" t="s">
        <v>1048</v>
      </c>
      <c r="Q824" s="121" t="s">
        <v>1291</v>
      </c>
      <c r="R824" s="285">
        <f t="shared" ref="R824:R831" si="101">O824*P824</f>
        <v>21.877019999999998</v>
      </c>
    </row>
    <row r="825" spans="1:18" ht="28.5">
      <c r="A825" s="283" t="s">
        <v>434</v>
      </c>
      <c r="B825" s="283" t="s">
        <v>1046</v>
      </c>
      <c r="C825" s="283" t="s">
        <v>427</v>
      </c>
      <c r="D825" s="284" t="s">
        <v>1047</v>
      </c>
      <c r="E825" s="283" t="s">
        <v>451</v>
      </c>
      <c r="F825" s="292">
        <v>0.38279999999999997</v>
      </c>
      <c r="G825" s="293">
        <v>19.329999999999998</v>
      </c>
      <c r="H825" s="121">
        <v>7.39</v>
      </c>
      <c r="I825" s="285">
        <f t="shared" si="100"/>
        <v>7.3995239999999987</v>
      </c>
      <c r="J825" s="281" t="s">
        <v>434</v>
      </c>
      <c r="K825" s="281" t="s">
        <v>1055</v>
      </c>
      <c r="L825" s="281" t="s">
        <v>427</v>
      </c>
      <c r="M825" s="282" t="s">
        <v>1056</v>
      </c>
      <c r="N825" s="281" t="s">
        <v>468</v>
      </c>
      <c r="O825" s="294">
        <v>0.34451999999999999</v>
      </c>
      <c r="P825" s="295" t="s">
        <v>1044</v>
      </c>
      <c r="Q825" s="121" t="s">
        <v>1292</v>
      </c>
      <c r="R825" s="285">
        <f t="shared" si="101"/>
        <v>6.6595715999999996</v>
      </c>
    </row>
    <row r="826" spans="1:18" ht="28.5">
      <c r="A826" s="111" t="s">
        <v>434</v>
      </c>
      <c r="B826" s="111" t="s">
        <v>1293</v>
      </c>
      <c r="C826" s="111" t="s">
        <v>427</v>
      </c>
      <c r="D826" s="112" t="s">
        <v>1294</v>
      </c>
      <c r="E826" s="111" t="s">
        <v>468</v>
      </c>
      <c r="F826" s="113">
        <v>3.8280000000000002E-2</v>
      </c>
      <c r="G826" s="121">
        <v>135</v>
      </c>
      <c r="H826" s="121">
        <v>5.16</v>
      </c>
      <c r="I826" s="285">
        <f t="shared" si="100"/>
        <v>5.1678000000000006</v>
      </c>
      <c r="J826" s="111" t="s">
        <v>434</v>
      </c>
      <c r="K826" s="111" t="s">
        <v>1293</v>
      </c>
      <c r="L826" s="111" t="s">
        <v>427</v>
      </c>
      <c r="M826" s="112" t="s">
        <v>1294</v>
      </c>
      <c r="N826" s="111" t="s">
        <v>468</v>
      </c>
      <c r="O826" s="113">
        <v>3.8280000000000002E-2</v>
      </c>
      <c r="P826" s="121" t="s">
        <v>1295</v>
      </c>
      <c r="Q826" s="121" t="s">
        <v>1296</v>
      </c>
      <c r="R826" s="285">
        <f t="shared" si="101"/>
        <v>5.1678000000000006</v>
      </c>
    </row>
    <row r="827" spans="1:18" ht="28.5">
      <c r="A827" s="283" t="s">
        <v>434</v>
      </c>
      <c r="B827" s="283" t="s">
        <v>1070</v>
      </c>
      <c r="C827" s="283" t="s">
        <v>427</v>
      </c>
      <c r="D827" s="284" t="s">
        <v>1071</v>
      </c>
      <c r="E827" s="283" t="s">
        <v>468</v>
      </c>
      <c r="F827" s="292">
        <v>0.34451999999999999</v>
      </c>
      <c r="G827" s="293">
        <v>30.3</v>
      </c>
      <c r="H827" s="121">
        <v>10.43</v>
      </c>
      <c r="I827" s="285">
        <f t="shared" si="100"/>
        <v>10.438955999999999</v>
      </c>
      <c r="J827" s="281" t="s">
        <v>434</v>
      </c>
      <c r="K827" s="281" t="s">
        <v>536</v>
      </c>
      <c r="L827" s="281" t="s">
        <v>427</v>
      </c>
      <c r="M827" s="282" t="s">
        <v>522</v>
      </c>
      <c r="N827" s="281" t="s">
        <v>464</v>
      </c>
      <c r="O827" s="294">
        <v>0.5</v>
      </c>
      <c r="P827" s="295" t="s">
        <v>1068</v>
      </c>
      <c r="Q827" s="121" t="s">
        <v>1297</v>
      </c>
      <c r="R827" s="285">
        <f t="shared" si="101"/>
        <v>15.15</v>
      </c>
    </row>
    <row r="828" spans="1:18" ht="28.5">
      <c r="A828" s="111" t="s">
        <v>434</v>
      </c>
      <c r="B828" s="111" t="s">
        <v>536</v>
      </c>
      <c r="C828" s="111" t="s">
        <v>427</v>
      </c>
      <c r="D828" s="112" t="s">
        <v>522</v>
      </c>
      <c r="E828" s="111" t="s">
        <v>1576</v>
      </c>
      <c r="F828" s="113">
        <v>0.5</v>
      </c>
      <c r="G828" s="121">
        <v>23.1</v>
      </c>
      <c r="H828" s="121">
        <v>11.55</v>
      </c>
      <c r="I828" s="285">
        <f t="shared" si="100"/>
        <v>11.55</v>
      </c>
      <c r="J828" s="111" t="s">
        <v>434</v>
      </c>
      <c r="K828" s="111" t="s">
        <v>491</v>
      </c>
      <c r="L828" s="111" t="s">
        <v>427</v>
      </c>
      <c r="M828" s="112" t="s">
        <v>492</v>
      </c>
      <c r="N828" s="111" t="s">
        <v>464</v>
      </c>
      <c r="O828" s="113">
        <v>0.5</v>
      </c>
      <c r="P828" s="121" t="s">
        <v>537</v>
      </c>
      <c r="Q828" s="121" t="s">
        <v>993</v>
      </c>
      <c r="R828" s="285">
        <f t="shared" si="101"/>
        <v>11.55</v>
      </c>
    </row>
    <row r="829" spans="1:18" ht="28.5">
      <c r="A829" s="283" t="s">
        <v>434</v>
      </c>
      <c r="B829" s="283" t="s">
        <v>491</v>
      </c>
      <c r="C829" s="283" t="s">
        <v>427</v>
      </c>
      <c r="D829" s="284" t="s">
        <v>492</v>
      </c>
      <c r="E829" s="283" t="s">
        <v>1576</v>
      </c>
      <c r="F829" s="292">
        <v>0.5</v>
      </c>
      <c r="G829" s="293">
        <v>16.809999999999999</v>
      </c>
      <c r="H829" s="121">
        <v>8.4</v>
      </c>
      <c r="I829" s="285">
        <f t="shared" si="100"/>
        <v>8.4049999999999994</v>
      </c>
      <c r="J829" s="281" t="s">
        <v>434</v>
      </c>
      <c r="K829" s="281" t="s">
        <v>1070</v>
      </c>
      <c r="L829" s="281" t="s">
        <v>427</v>
      </c>
      <c r="M829" s="282" t="s">
        <v>1071</v>
      </c>
      <c r="N829" s="281" t="s">
        <v>468</v>
      </c>
      <c r="O829" s="294">
        <v>0.34451999999999999</v>
      </c>
      <c r="P829" s="295" t="s">
        <v>493</v>
      </c>
      <c r="Q829" s="121" t="s">
        <v>1298</v>
      </c>
      <c r="R829" s="285">
        <f t="shared" si="101"/>
        <v>5.7913811999999991</v>
      </c>
    </row>
    <row r="830" spans="1:18" ht="57">
      <c r="A830" s="115" t="s">
        <v>437</v>
      </c>
      <c r="B830" s="115" t="s">
        <v>1299</v>
      </c>
      <c r="C830" s="115" t="s">
        <v>427</v>
      </c>
      <c r="D830" s="116" t="s">
        <v>1300</v>
      </c>
      <c r="E830" s="115" t="s">
        <v>676</v>
      </c>
      <c r="F830" s="117">
        <v>1</v>
      </c>
      <c r="G830" s="120">
        <v>375.94</v>
      </c>
      <c r="H830" s="120">
        <v>375.94</v>
      </c>
      <c r="I830" s="285">
        <f t="shared" si="100"/>
        <v>375.94</v>
      </c>
      <c r="J830" s="115" t="s">
        <v>437</v>
      </c>
      <c r="K830" s="115" t="s">
        <v>1299</v>
      </c>
      <c r="L830" s="115" t="s">
        <v>427</v>
      </c>
      <c r="M830" s="116" t="s">
        <v>1300</v>
      </c>
      <c r="N830" s="115" t="s">
        <v>676</v>
      </c>
      <c r="O830" s="117">
        <v>1</v>
      </c>
      <c r="P830" s="120" t="s">
        <v>1301</v>
      </c>
      <c r="Q830" s="120" t="s">
        <v>1301</v>
      </c>
      <c r="R830" s="285">
        <f t="shared" si="101"/>
        <v>375.94</v>
      </c>
    </row>
    <row r="831" spans="1:18" ht="71.25">
      <c r="A831" s="115" t="s">
        <v>437</v>
      </c>
      <c r="B831" s="115" t="s">
        <v>1302</v>
      </c>
      <c r="C831" s="115" t="s">
        <v>427</v>
      </c>
      <c r="D831" s="116" t="s">
        <v>1303</v>
      </c>
      <c r="E831" s="115" t="s">
        <v>676</v>
      </c>
      <c r="F831" s="117">
        <v>1</v>
      </c>
      <c r="G831" s="120">
        <v>168.74</v>
      </c>
      <c r="H831" s="120">
        <v>168.74</v>
      </c>
      <c r="I831" s="285">
        <f t="shared" si="100"/>
        <v>168.74</v>
      </c>
      <c r="J831" s="115" t="s">
        <v>437</v>
      </c>
      <c r="K831" s="115" t="s">
        <v>1302</v>
      </c>
      <c r="L831" s="115" t="s">
        <v>427</v>
      </c>
      <c r="M831" s="116" t="s">
        <v>1303</v>
      </c>
      <c r="N831" s="115" t="s">
        <v>676</v>
      </c>
      <c r="O831" s="117">
        <v>1</v>
      </c>
      <c r="P831" s="120" t="s">
        <v>1304</v>
      </c>
      <c r="Q831" s="120" t="s">
        <v>1304</v>
      </c>
      <c r="R831" s="285">
        <f t="shared" si="101"/>
        <v>168.74</v>
      </c>
    </row>
    <row r="832" spans="1:18">
      <c r="A832" s="104"/>
      <c r="B832" s="104"/>
      <c r="C832" s="104"/>
      <c r="D832" s="104"/>
      <c r="E832" s="104"/>
      <c r="F832" s="105"/>
      <c r="G832" s="106"/>
      <c r="H832" s="107"/>
      <c r="I832" s="285"/>
    </row>
    <row r="833" spans="1:9">
      <c r="A833" s="108"/>
      <c r="B833" s="108"/>
      <c r="C833" s="108"/>
      <c r="D833" s="108"/>
      <c r="E833" s="108"/>
      <c r="F833" s="109"/>
      <c r="G833" s="110"/>
      <c r="H833" s="110"/>
      <c r="I833" s="285"/>
    </row>
    <row r="834" spans="1:9">
      <c r="A834" s="97" t="s">
        <v>1305</v>
      </c>
      <c r="B834" s="97" t="s">
        <v>418</v>
      </c>
      <c r="C834" s="97" t="s">
        <v>419</v>
      </c>
      <c r="D834" s="98" t="s">
        <v>420</v>
      </c>
      <c r="E834" s="97" t="s">
        <v>421</v>
      </c>
      <c r="F834" s="99" t="s">
        <v>422</v>
      </c>
      <c r="G834" s="97" t="s">
        <v>423</v>
      </c>
      <c r="H834" s="97" t="s">
        <v>424</v>
      </c>
      <c r="I834" s="285"/>
    </row>
    <row r="835" spans="1:9" ht="28.5">
      <c r="A835" s="100" t="s">
        <v>425</v>
      </c>
      <c r="B835" s="100" t="s">
        <v>1306</v>
      </c>
      <c r="C835" s="100" t="s">
        <v>431</v>
      </c>
      <c r="D835" s="101" t="s">
        <v>292</v>
      </c>
      <c r="E835" s="100" t="s">
        <v>8</v>
      </c>
      <c r="F835" s="102">
        <v>1</v>
      </c>
      <c r="G835" s="103">
        <v>18.7</v>
      </c>
      <c r="H835" s="103">
        <v>18.7</v>
      </c>
      <c r="I835" s="285">
        <f>SUM(I836:I839)</f>
        <v>18.710591999999998</v>
      </c>
    </row>
    <row r="836" spans="1:9" ht="28.5">
      <c r="A836" s="111" t="s">
        <v>434</v>
      </c>
      <c r="B836" s="111" t="s">
        <v>1254</v>
      </c>
      <c r="C836" s="111" t="s">
        <v>431</v>
      </c>
      <c r="D836" s="112" t="s">
        <v>1255</v>
      </c>
      <c r="E836" s="111" t="s">
        <v>520</v>
      </c>
      <c r="F836" s="113">
        <v>3.5200000000000002E-2</v>
      </c>
      <c r="G836" s="114">
        <v>17.850000000000001</v>
      </c>
      <c r="H836" s="114">
        <v>0.62</v>
      </c>
      <c r="I836" s="285">
        <f t="shared" ref="I836:I839" si="102">F836*G836</f>
        <v>0.6283200000000001</v>
      </c>
    </row>
    <row r="837" spans="1:9" ht="28.5">
      <c r="A837" s="111" t="s">
        <v>434</v>
      </c>
      <c r="B837" s="111" t="s">
        <v>1252</v>
      </c>
      <c r="C837" s="111" t="s">
        <v>431</v>
      </c>
      <c r="D837" s="112" t="s">
        <v>1253</v>
      </c>
      <c r="E837" s="111" t="s">
        <v>520</v>
      </c>
      <c r="F837" s="113">
        <v>3.5200000000000002E-2</v>
      </c>
      <c r="G837" s="114">
        <v>23.36</v>
      </c>
      <c r="H837" s="114">
        <v>0.82</v>
      </c>
      <c r="I837" s="285">
        <f t="shared" si="102"/>
        <v>0.822272</v>
      </c>
    </row>
    <row r="838" spans="1:9">
      <c r="A838" s="115" t="s">
        <v>437</v>
      </c>
      <c r="B838" s="115" t="s">
        <v>1307</v>
      </c>
      <c r="C838" s="115" t="s">
        <v>431</v>
      </c>
      <c r="D838" s="116" t="s">
        <v>1308</v>
      </c>
      <c r="E838" s="115" t="s">
        <v>8</v>
      </c>
      <c r="F838" s="117">
        <v>1</v>
      </c>
      <c r="G838" s="118">
        <v>16.239999999999998</v>
      </c>
      <c r="H838" s="118">
        <v>16.239999999999998</v>
      </c>
      <c r="I838" s="285">
        <f t="shared" si="102"/>
        <v>16.239999999999998</v>
      </c>
    </row>
    <row r="839" spans="1:9" ht="42.75">
      <c r="A839" s="115" t="s">
        <v>437</v>
      </c>
      <c r="B839" s="115" t="s">
        <v>1309</v>
      </c>
      <c r="C839" s="115" t="s">
        <v>431</v>
      </c>
      <c r="D839" s="116" t="s">
        <v>1310</v>
      </c>
      <c r="E839" s="115" t="s">
        <v>8</v>
      </c>
      <c r="F839" s="117">
        <v>1</v>
      </c>
      <c r="G839" s="118">
        <v>1.02</v>
      </c>
      <c r="H839" s="118">
        <v>1.02</v>
      </c>
      <c r="I839" s="285">
        <f t="shared" si="102"/>
        <v>1.02</v>
      </c>
    </row>
    <row r="840" spans="1:9">
      <c r="A840" s="104"/>
      <c r="B840" s="104"/>
      <c r="C840" s="104"/>
      <c r="D840" s="104"/>
      <c r="E840" s="104"/>
      <c r="F840" s="105"/>
      <c r="G840" s="106"/>
      <c r="H840" s="107"/>
      <c r="I840" s="285"/>
    </row>
    <row r="841" spans="1:9">
      <c r="A841" s="108"/>
      <c r="B841" s="108"/>
      <c r="C841" s="108"/>
      <c r="D841" s="108"/>
      <c r="E841" s="108"/>
      <c r="F841" s="109"/>
      <c r="G841" s="110"/>
      <c r="H841" s="110"/>
      <c r="I841" s="285"/>
    </row>
    <row r="842" spans="1:9">
      <c r="A842" s="97" t="s">
        <v>1311</v>
      </c>
      <c r="B842" s="97" t="s">
        <v>418</v>
      </c>
      <c r="C842" s="97" t="s">
        <v>419</v>
      </c>
      <c r="D842" s="98" t="s">
        <v>420</v>
      </c>
      <c r="E842" s="97" t="s">
        <v>421</v>
      </c>
      <c r="F842" s="99" t="s">
        <v>422</v>
      </c>
      <c r="G842" s="97" t="s">
        <v>423</v>
      </c>
      <c r="H842" s="97" t="s">
        <v>424</v>
      </c>
      <c r="I842" s="285"/>
    </row>
    <row r="843" spans="1:9" ht="28.5">
      <c r="A843" s="100" t="s">
        <v>425</v>
      </c>
      <c r="B843" s="100" t="s">
        <v>1312</v>
      </c>
      <c r="C843" s="100" t="s">
        <v>431</v>
      </c>
      <c r="D843" s="101" t="s">
        <v>294</v>
      </c>
      <c r="E843" s="100" t="s">
        <v>8</v>
      </c>
      <c r="F843" s="102">
        <v>1</v>
      </c>
      <c r="G843" s="103">
        <v>20.28</v>
      </c>
      <c r="H843" s="103">
        <v>20.28</v>
      </c>
      <c r="I843" s="285">
        <f>SUM(I844:I847)</f>
        <v>20.292223</v>
      </c>
    </row>
    <row r="844" spans="1:9" ht="28.5">
      <c r="A844" s="111" t="s">
        <v>434</v>
      </c>
      <c r="B844" s="111" t="s">
        <v>1252</v>
      </c>
      <c r="C844" s="111" t="s">
        <v>431</v>
      </c>
      <c r="D844" s="112" t="s">
        <v>1253</v>
      </c>
      <c r="E844" s="111" t="s">
        <v>520</v>
      </c>
      <c r="F844" s="113">
        <v>6.6299999999999998E-2</v>
      </c>
      <c r="G844" s="114">
        <v>23.36</v>
      </c>
      <c r="H844" s="114">
        <v>1.54</v>
      </c>
      <c r="I844" s="285">
        <f t="shared" ref="I844:I847" si="103">F844*G844</f>
        <v>1.5487679999999999</v>
      </c>
    </row>
    <row r="845" spans="1:9" ht="28.5">
      <c r="A845" s="111" t="s">
        <v>434</v>
      </c>
      <c r="B845" s="111" t="s">
        <v>1254</v>
      </c>
      <c r="C845" s="111" t="s">
        <v>431</v>
      </c>
      <c r="D845" s="112" t="s">
        <v>1255</v>
      </c>
      <c r="E845" s="111" t="s">
        <v>520</v>
      </c>
      <c r="F845" s="113">
        <v>6.6299999999999998E-2</v>
      </c>
      <c r="G845" s="114">
        <v>17.850000000000001</v>
      </c>
      <c r="H845" s="114">
        <v>1.18</v>
      </c>
      <c r="I845" s="285">
        <f t="shared" si="103"/>
        <v>1.1834550000000001</v>
      </c>
    </row>
    <row r="846" spans="1:9">
      <c r="A846" s="115" t="s">
        <v>437</v>
      </c>
      <c r="B846" s="115" t="s">
        <v>1307</v>
      </c>
      <c r="C846" s="115" t="s">
        <v>431</v>
      </c>
      <c r="D846" s="116" t="s">
        <v>1308</v>
      </c>
      <c r="E846" s="115" t="s">
        <v>8</v>
      </c>
      <c r="F846" s="117">
        <v>1</v>
      </c>
      <c r="G846" s="118">
        <v>16.239999999999998</v>
      </c>
      <c r="H846" s="118">
        <v>16.239999999999998</v>
      </c>
      <c r="I846" s="285">
        <f t="shared" si="103"/>
        <v>16.239999999999998</v>
      </c>
    </row>
    <row r="847" spans="1:9" ht="42.75">
      <c r="A847" s="115" t="s">
        <v>437</v>
      </c>
      <c r="B847" s="115" t="s">
        <v>1313</v>
      </c>
      <c r="C847" s="115" t="s">
        <v>431</v>
      </c>
      <c r="D847" s="116" t="s">
        <v>1314</v>
      </c>
      <c r="E847" s="115" t="s">
        <v>8</v>
      </c>
      <c r="F847" s="117">
        <v>1</v>
      </c>
      <c r="G847" s="118">
        <v>1.32</v>
      </c>
      <c r="H847" s="118">
        <v>1.32</v>
      </c>
      <c r="I847" s="285">
        <f t="shared" si="103"/>
        <v>1.32</v>
      </c>
    </row>
    <row r="848" spans="1:9">
      <c r="A848" s="104"/>
      <c r="B848" s="104"/>
      <c r="C848" s="104"/>
      <c r="D848" s="104"/>
      <c r="E848" s="104"/>
      <c r="F848" s="105"/>
      <c r="G848" s="106"/>
      <c r="H848" s="107"/>
      <c r="I848" s="285"/>
    </row>
    <row r="849" spans="1:9">
      <c r="A849" s="108"/>
      <c r="B849" s="108"/>
      <c r="C849" s="108"/>
      <c r="D849" s="108"/>
      <c r="E849" s="108"/>
      <c r="F849" s="109"/>
      <c r="G849" s="110"/>
      <c r="H849" s="110"/>
      <c r="I849" s="285"/>
    </row>
    <row r="850" spans="1:9">
      <c r="A850" s="97" t="s">
        <v>1315</v>
      </c>
      <c r="B850" s="97" t="s">
        <v>418</v>
      </c>
      <c r="C850" s="97" t="s">
        <v>419</v>
      </c>
      <c r="D850" s="98" t="s">
        <v>420</v>
      </c>
      <c r="E850" s="97" t="s">
        <v>421</v>
      </c>
      <c r="F850" s="99" t="s">
        <v>422</v>
      </c>
      <c r="G850" s="97" t="s">
        <v>423</v>
      </c>
      <c r="H850" s="97" t="s">
        <v>424</v>
      </c>
      <c r="I850" s="285"/>
    </row>
    <row r="851" spans="1:9" ht="42.75">
      <c r="A851" s="100" t="s">
        <v>425</v>
      </c>
      <c r="B851" s="100" t="s">
        <v>1316</v>
      </c>
      <c r="C851" s="100" t="s">
        <v>431</v>
      </c>
      <c r="D851" s="101" t="s">
        <v>296</v>
      </c>
      <c r="E851" s="100" t="s">
        <v>31</v>
      </c>
      <c r="F851" s="102">
        <v>1</v>
      </c>
      <c r="G851" s="103">
        <v>2.5499999999999998</v>
      </c>
      <c r="H851" s="103">
        <v>2.5499999999999998</v>
      </c>
      <c r="I851" s="285">
        <f>SUM(I852:I855)</f>
        <v>2.5683499999999997</v>
      </c>
    </row>
    <row r="852" spans="1:9" ht="28.5">
      <c r="A852" s="111" t="s">
        <v>434</v>
      </c>
      <c r="B852" s="111" t="s">
        <v>1252</v>
      </c>
      <c r="C852" s="111" t="s">
        <v>431</v>
      </c>
      <c r="D852" s="112" t="s">
        <v>1253</v>
      </c>
      <c r="E852" s="111" t="s">
        <v>520</v>
      </c>
      <c r="F852" s="113">
        <v>2.4E-2</v>
      </c>
      <c r="G852" s="114">
        <v>23.36</v>
      </c>
      <c r="H852" s="114">
        <v>0.56000000000000005</v>
      </c>
      <c r="I852" s="285">
        <f t="shared" ref="I852:I855" si="104">F852*G852</f>
        <v>0.56064000000000003</v>
      </c>
    </row>
    <row r="853" spans="1:9" ht="28.5">
      <c r="A853" s="111" t="s">
        <v>434</v>
      </c>
      <c r="B853" s="111" t="s">
        <v>1254</v>
      </c>
      <c r="C853" s="111" t="s">
        <v>431</v>
      </c>
      <c r="D853" s="112" t="s">
        <v>1255</v>
      </c>
      <c r="E853" s="111" t="s">
        <v>520</v>
      </c>
      <c r="F853" s="113">
        <v>2.4E-2</v>
      </c>
      <c r="G853" s="114">
        <v>17.850000000000001</v>
      </c>
      <c r="H853" s="114">
        <v>0.42</v>
      </c>
      <c r="I853" s="285">
        <f t="shared" si="104"/>
        <v>0.42840000000000006</v>
      </c>
    </row>
    <row r="854" spans="1:9" ht="42.75">
      <c r="A854" s="115" t="s">
        <v>437</v>
      </c>
      <c r="B854" s="115" t="s">
        <v>1317</v>
      </c>
      <c r="C854" s="115" t="s">
        <v>431</v>
      </c>
      <c r="D854" s="116" t="s">
        <v>1318</v>
      </c>
      <c r="E854" s="115" t="s">
        <v>31</v>
      </c>
      <c r="F854" s="117">
        <v>1.19</v>
      </c>
      <c r="G854" s="118">
        <v>1.3</v>
      </c>
      <c r="H854" s="118">
        <v>1.54</v>
      </c>
      <c r="I854" s="285">
        <f t="shared" si="104"/>
        <v>1.5469999999999999</v>
      </c>
    </row>
    <row r="855" spans="1:9" ht="28.5">
      <c r="A855" s="115" t="s">
        <v>437</v>
      </c>
      <c r="B855" s="115" t="s">
        <v>1258</v>
      </c>
      <c r="C855" s="115" t="s">
        <v>431</v>
      </c>
      <c r="D855" s="116" t="s">
        <v>1259</v>
      </c>
      <c r="E855" s="115" t="s">
        <v>8</v>
      </c>
      <c r="F855" s="117">
        <v>8.9999999999999993E-3</v>
      </c>
      <c r="G855" s="118">
        <v>3.59</v>
      </c>
      <c r="H855" s="118">
        <v>0.03</v>
      </c>
      <c r="I855" s="285">
        <f t="shared" si="104"/>
        <v>3.2309999999999998E-2</v>
      </c>
    </row>
    <row r="856" spans="1:9">
      <c r="A856" s="104"/>
      <c r="B856" s="104"/>
      <c r="C856" s="104"/>
      <c r="D856" s="104"/>
      <c r="E856" s="104"/>
      <c r="F856" s="105"/>
      <c r="G856" s="106"/>
      <c r="H856" s="107"/>
      <c r="I856" s="285"/>
    </row>
    <row r="857" spans="1:9">
      <c r="A857" s="108"/>
      <c r="B857" s="108"/>
      <c r="C857" s="108"/>
      <c r="D857" s="108"/>
      <c r="E857" s="108"/>
      <c r="F857" s="109"/>
      <c r="G857" s="110"/>
      <c r="H857" s="110"/>
      <c r="I857" s="285"/>
    </row>
    <row r="858" spans="1:9">
      <c r="A858" s="97" t="s">
        <v>1319</v>
      </c>
      <c r="B858" s="97" t="s">
        <v>418</v>
      </c>
      <c r="C858" s="97" t="s">
        <v>419</v>
      </c>
      <c r="D858" s="98" t="s">
        <v>420</v>
      </c>
      <c r="E858" s="97" t="s">
        <v>421</v>
      </c>
      <c r="F858" s="99" t="s">
        <v>422</v>
      </c>
      <c r="G858" s="97" t="s">
        <v>423</v>
      </c>
      <c r="H858" s="97" t="s">
        <v>424</v>
      </c>
      <c r="I858" s="285"/>
    </row>
    <row r="859" spans="1:9" ht="42.75">
      <c r="A859" s="100" t="s">
        <v>425</v>
      </c>
      <c r="B859" s="100" t="s">
        <v>1320</v>
      </c>
      <c r="C859" s="100" t="s">
        <v>431</v>
      </c>
      <c r="D859" s="101" t="s">
        <v>298</v>
      </c>
      <c r="E859" s="100" t="s">
        <v>31</v>
      </c>
      <c r="F859" s="102">
        <v>1</v>
      </c>
      <c r="G859" s="103">
        <v>3.73</v>
      </c>
      <c r="H859" s="103">
        <v>3.73</v>
      </c>
      <c r="I859" s="285">
        <f>SUM(I860:I863)</f>
        <v>3.7438099999999999</v>
      </c>
    </row>
    <row r="860" spans="1:9" ht="28.5">
      <c r="A860" s="111" t="s">
        <v>434</v>
      </c>
      <c r="B860" s="111" t="s">
        <v>1254</v>
      </c>
      <c r="C860" s="111" t="s">
        <v>431</v>
      </c>
      <c r="D860" s="112" t="s">
        <v>1255</v>
      </c>
      <c r="E860" s="111" t="s">
        <v>520</v>
      </c>
      <c r="F860" s="113">
        <v>0.03</v>
      </c>
      <c r="G860" s="114">
        <v>17.850000000000001</v>
      </c>
      <c r="H860" s="114">
        <v>0.53</v>
      </c>
      <c r="I860" s="285">
        <f t="shared" ref="I860:I863" si="105">F860*G860</f>
        <v>0.53549999999999998</v>
      </c>
    </row>
    <row r="861" spans="1:9" ht="28.5">
      <c r="A861" s="111" t="s">
        <v>434</v>
      </c>
      <c r="B861" s="111" t="s">
        <v>1252</v>
      </c>
      <c r="C861" s="111" t="s">
        <v>431</v>
      </c>
      <c r="D861" s="112" t="s">
        <v>1253</v>
      </c>
      <c r="E861" s="111" t="s">
        <v>520</v>
      </c>
      <c r="F861" s="113">
        <v>0.03</v>
      </c>
      <c r="G861" s="114">
        <v>23.36</v>
      </c>
      <c r="H861" s="114">
        <v>0.7</v>
      </c>
      <c r="I861" s="285">
        <f t="shared" si="105"/>
        <v>0.70079999999999998</v>
      </c>
    </row>
    <row r="862" spans="1:9" ht="42.75">
      <c r="A862" s="115" t="s">
        <v>437</v>
      </c>
      <c r="B862" s="115" t="s">
        <v>1321</v>
      </c>
      <c r="C862" s="115" t="s">
        <v>431</v>
      </c>
      <c r="D862" s="116" t="s">
        <v>1322</v>
      </c>
      <c r="E862" s="115" t="s">
        <v>31</v>
      </c>
      <c r="F862" s="117">
        <v>1.19</v>
      </c>
      <c r="G862" s="118">
        <v>2.08</v>
      </c>
      <c r="H862" s="118">
        <v>2.4700000000000002</v>
      </c>
      <c r="I862" s="285">
        <f t="shared" si="105"/>
        <v>2.4752000000000001</v>
      </c>
    </row>
    <row r="863" spans="1:9" ht="28.5">
      <c r="A863" s="115" t="s">
        <v>437</v>
      </c>
      <c r="B863" s="115" t="s">
        <v>1258</v>
      </c>
      <c r="C863" s="115" t="s">
        <v>431</v>
      </c>
      <c r="D863" s="116" t="s">
        <v>1259</v>
      </c>
      <c r="E863" s="115" t="s">
        <v>8</v>
      </c>
      <c r="F863" s="117">
        <v>8.9999999999999993E-3</v>
      </c>
      <c r="G863" s="118">
        <v>3.59</v>
      </c>
      <c r="H863" s="118">
        <v>0.03</v>
      </c>
      <c r="I863" s="285">
        <f t="shared" si="105"/>
        <v>3.2309999999999998E-2</v>
      </c>
    </row>
    <row r="864" spans="1:9">
      <c r="A864" s="104"/>
      <c r="B864" s="104"/>
      <c r="C864" s="104"/>
      <c r="D864" s="104"/>
      <c r="E864" s="104"/>
      <c r="F864" s="105"/>
      <c r="G864" s="106"/>
      <c r="H864" s="107"/>
      <c r="I864" s="285"/>
    </row>
    <row r="865" spans="1:9">
      <c r="A865" s="108"/>
      <c r="B865" s="108"/>
      <c r="C865" s="108"/>
      <c r="D865" s="108"/>
      <c r="E865" s="108"/>
      <c r="F865" s="109"/>
      <c r="G865" s="110"/>
      <c r="H865" s="110"/>
      <c r="I865" s="285"/>
    </row>
    <row r="866" spans="1:9">
      <c r="A866" s="97" t="s">
        <v>1323</v>
      </c>
      <c r="B866" s="97" t="s">
        <v>418</v>
      </c>
      <c r="C866" s="97" t="s">
        <v>419</v>
      </c>
      <c r="D866" s="98" t="s">
        <v>420</v>
      </c>
      <c r="E866" s="97" t="s">
        <v>421</v>
      </c>
      <c r="F866" s="99" t="s">
        <v>422</v>
      </c>
      <c r="G866" s="97" t="s">
        <v>423</v>
      </c>
      <c r="H866" s="97" t="s">
        <v>424</v>
      </c>
      <c r="I866" s="285"/>
    </row>
    <row r="867" spans="1:9" ht="42.75">
      <c r="A867" s="100" t="s">
        <v>425</v>
      </c>
      <c r="B867" s="100" t="s">
        <v>1324</v>
      </c>
      <c r="C867" s="100" t="s">
        <v>622</v>
      </c>
      <c r="D867" s="101" t="s">
        <v>301</v>
      </c>
      <c r="E867" s="100" t="s">
        <v>8</v>
      </c>
      <c r="F867" s="102">
        <v>1</v>
      </c>
      <c r="G867" s="103">
        <v>40.380000000000003</v>
      </c>
      <c r="H867" s="103">
        <v>40.380000000000003</v>
      </c>
      <c r="I867" s="285">
        <f>SUM(I868:I871)</f>
        <v>40.384999999999998</v>
      </c>
    </row>
    <row r="868" spans="1:9" ht="28.5">
      <c r="A868" s="111" t="s">
        <v>434</v>
      </c>
      <c r="B868" s="111" t="s">
        <v>1254</v>
      </c>
      <c r="C868" s="111" t="s">
        <v>431</v>
      </c>
      <c r="D868" s="112" t="s">
        <v>1255</v>
      </c>
      <c r="E868" s="111" t="s">
        <v>520</v>
      </c>
      <c r="F868" s="113">
        <v>0.5</v>
      </c>
      <c r="G868" s="114">
        <v>17.850000000000001</v>
      </c>
      <c r="H868" s="114">
        <v>8.92</v>
      </c>
      <c r="I868" s="285">
        <f t="shared" ref="I868:I871" si="106">F868*G868</f>
        <v>8.9250000000000007</v>
      </c>
    </row>
    <row r="869" spans="1:9" ht="28.5">
      <c r="A869" s="111" t="s">
        <v>434</v>
      </c>
      <c r="B869" s="111" t="s">
        <v>1252</v>
      </c>
      <c r="C869" s="111" t="s">
        <v>431</v>
      </c>
      <c r="D869" s="112" t="s">
        <v>1253</v>
      </c>
      <c r="E869" s="111" t="s">
        <v>520</v>
      </c>
      <c r="F869" s="113">
        <v>0.5</v>
      </c>
      <c r="G869" s="114">
        <v>23.36</v>
      </c>
      <c r="H869" s="114">
        <v>11.68</v>
      </c>
      <c r="I869" s="285">
        <f t="shared" si="106"/>
        <v>11.68</v>
      </c>
    </row>
    <row r="870" spans="1:9" ht="28.5">
      <c r="A870" s="115" t="s">
        <v>437</v>
      </c>
      <c r="B870" s="115" t="s">
        <v>1325</v>
      </c>
      <c r="C870" s="115" t="s">
        <v>431</v>
      </c>
      <c r="D870" s="116" t="s">
        <v>1326</v>
      </c>
      <c r="E870" s="115" t="s">
        <v>8</v>
      </c>
      <c r="F870" s="117">
        <v>1</v>
      </c>
      <c r="G870" s="118">
        <v>9.8800000000000008</v>
      </c>
      <c r="H870" s="118">
        <v>9.8800000000000008</v>
      </c>
      <c r="I870" s="285">
        <f t="shared" si="106"/>
        <v>9.8800000000000008</v>
      </c>
    </row>
    <row r="871" spans="1:9" ht="28.5">
      <c r="A871" s="115" t="s">
        <v>437</v>
      </c>
      <c r="B871" s="115" t="s">
        <v>1327</v>
      </c>
      <c r="C871" s="115" t="s">
        <v>431</v>
      </c>
      <c r="D871" s="116" t="s">
        <v>1328</v>
      </c>
      <c r="E871" s="115" t="s">
        <v>8</v>
      </c>
      <c r="F871" s="117">
        <v>1</v>
      </c>
      <c r="G871" s="118">
        <v>9.9</v>
      </c>
      <c r="H871" s="118">
        <v>9.9</v>
      </c>
      <c r="I871" s="285">
        <f t="shared" si="106"/>
        <v>9.9</v>
      </c>
    </row>
    <row r="872" spans="1:9">
      <c r="A872" s="104"/>
      <c r="B872" s="104"/>
      <c r="C872" s="104"/>
      <c r="D872" s="104"/>
      <c r="E872" s="104"/>
      <c r="F872" s="105"/>
      <c r="G872" s="106"/>
      <c r="H872" s="107"/>
      <c r="I872" s="285"/>
    </row>
    <row r="873" spans="1:9">
      <c r="A873" s="108"/>
      <c r="B873" s="108"/>
      <c r="C873" s="108"/>
      <c r="D873" s="108"/>
      <c r="E873" s="108"/>
      <c r="F873" s="109"/>
      <c r="G873" s="110"/>
      <c r="H873" s="110"/>
      <c r="I873" s="285"/>
    </row>
    <row r="874" spans="1:9">
      <c r="A874" s="97" t="s">
        <v>1329</v>
      </c>
      <c r="B874" s="97" t="s">
        <v>418</v>
      </c>
      <c r="C874" s="97" t="s">
        <v>419</v>
      </c>
      <c r="D874" s="98" t="s">
        <v>420</v>
      </c>
      <c r="E874" s="97" t="s">
        <v>421</v>
      </c>
      <c r="F874" s="99" t="s">
        <v>422</v>
      </c>
      <c r="G874" s="97" t="s">
        <v>423</v>
      </c>
      <c r="H874" s="97" t="s">
        <v>424</v>
      </c>
      <c r="I874" s="285"/>
    </row>
    <row r="875" spans="1:9" ht="42.75">
      <c r="A875" s="100" t="s">
        <v>425</v>
      </c>
      <c r="B875" s="100" t="s">
        <v>1330</v>
      </c>
      <c r="C875" s="100" t="s">
        <v>622</v>
      </c>
      <c r="D875" s="101" t="s">
        <v>304</v>
      </c>
      <c r="E875" s="100" t="s">
        <v>8</v>
      </c>
      <c r="F875" s="102">
        <v>1</v>
      </c>
      <c r="G875" s="103">
        <v>35.76</v>
      </c>
      <c r="H875" s="103">
        <v>35.76</v>
      </c>
      <c r="I875" s="285">
        <f>SUM(I876:I881)</f>
        <v>35.773600000000002</v>
      </c>
    </row>
    <row r="876" spans="1:9" ht="28.5">
      <c r="A876" s="111" t="s">
        <v>434</v>
      </c>
      <c r="B876" s="111" t="s">
        <v>1254</v>
      </c>
      <c r="C876" s="111" t="s">
        <v>431</v>
      </c>
      <c r="D876" s="112" t="s">
        <v>1255</v>
      </c>
      <c r="E876" s="111" t="s">
        <v>520</v>
      </c>
      <c r="F876" s="113">
        <v>0.16</v>
      </c>
      <c r="G876" s="114">
        <v>17.850000000000001</v>
      </c>
      <c r="H876" s="114">
        <v>2.85</v>
      </c>
      <c r="I876" s="285">
        <f t="shared" ref="I876:I881" si="107">F876*G876</f>
        <v>2.8560000000000003</v>
      </c>
    </row>
    <row r="877" spans="1:9" ht="28.5">
      <c r="A877" s="111" t="s">
        <v>434</v>
      </c>
      <c r="B877" s="111" t="s">
        <v>1252</v>
      </c>
      <c r="C877" s="111" t="s">
        <v>431</v>
      </c>
      <c r="D877" s="112" t="s">
        <v>1253</v>
      </c>
      <c r="E877" s="111" t="s">
        <v>520</v>
      </c>
      <c r="F877" s="113">
        <v>0.16</v>
      </c>
      <c r="G877" s="114">
        <v>23.36</v>
      </c>
      <c r="H877" s="114">
        <v>3.73</v>
      </c>
      <c r="I877" s="285">
        <f t="shared" si="107"/>
        <v>3.7376</v>
      </c>
    </row>
    <row r="878" spans="1:9" ht="28.5">
      <c r="A878" s="115" t="s">
        <v>437</v>
      </c>
      <c r="B878" s="115" t="s">
        <v>1331</v>
      </c>
      <c r="C878" s="115" t="s">
        <v>431</v>
      </c>
      <c r="D878" s="116" t="s">
        <v>1332</v>
      </c>
      <c r="E878" s="115" t="s">
        <v>8</v>
      </c>
      <c r="F878" s="117">
        <v>1</v>
      </c>
      <c r="G878" s="118">
        <v>15.75</v>
      </c>
      <c r="H878" s="118">
        <v>15.75</v>
      </c>
      <c r="I878" s="285">
        <f t="shared" si="107"/>
        <v>15.75</v>
      </c>
    </row>
    <row r="879" spans="1:9">
      <c r="A879" s="115" t="s">
        <v>437</v>
      </c>
      <c r="B879" s="115" t="s">
        <v>1333</v>
      </c>
      <c r="C879" s="115" t="s">
        <v>431</v>
      </c>
      <c r="D879" s="116" t="s">
        <v>1334</v>
      </c>
      <c r="E879" s="115" t="s">
        <v>8</v>
      </c>
      <c r="F879" s="117">
        <v>1</v>
      </c>
      <c r="G879" s="118">
        <v>7.6</v>
      </c>
      <c r="H879" s="118">
        <v>7.6</v>
      </c>
      <c r="I879" s="285">
        <f t="shared" si="107"/>
        <v>7.6</v>
      </c>
    </row>
    <row r="880" spans="1:9" ht="28.5">
      <c r="A880" s="115" t="s">
        <v>437</v>
      </c>
      <c r="B880" s="115" t="s">
        <v>1335</v>
      </c>
      <c r="C880" s="115" t="s">
        <v>431</v>
      </c>
      <c r="D880" s="116" t="s">
        <v>1336</v>
      </c>
      <c r="E880" s="115" t="s">
        <v>8</v>
      </c>
      <c r="F880" s="117">
        <v>1</v>
      </c>
      <c r="G880" s="118">
        <v>3.82</v>
      </c>
      <c r="H880" s="118">
        <v>3.82</v>
      </c>
      <c r="I880" s="285">
        <f t="shared" si="107"/>
        <v>3.82</v>
      </c>
    </row>
    <row r="881" spans="1:9" ht="42.75">
      <c r="A881" s="115" t="s">
        <v>437</v>
      </c>
      <c r="B881" s="115" t="s">
        <v>1337</v>
      </c>
      <c r="C881" s="115" t="s">
        <v>431</v>
      </c>
      <c r="D881" s="116" t="s">
        <v>1338</v>
      </c>
      <c r="E881" s="115" t="s">
        <v>8</v>
      </c>
      <c r="F881" s="117">
        <v>1</v>
      </c>
      <c r="G881" s="118">
        <v>2.0099999999999998</v>
      </c>
      <c r="H881" s="118">
        <v>2.0099999999999998</v>
      </c>
      <c r="I881" s="285">
        <f t="shared" si="107"/>
        <v>2.0099999999999998</v>
      </c>
    </row>
    <row r="882" spans="1:9">
      <c r="A882" s="104"/>
      <c r="B882" s="104"/>
      <c r="C882" s="104"/>
      <c r="D882" s="104"/>
      <c r="E882" s="104"/>
      <c r="F882" s="105"/>
      <c r="G882" s="106"/>
      <c r="H882" s="107"/>
      <c r="I882" s="285"/>
    </row>
    <row r="883" spans="1:9">
      <c r="A883" s="108"/>
      <c r="B883" s="108"/>
      <c r="C883" s="108"/>
      <c r="D883" s="108"/>
      <c r="E883" s="108"/>
      <c r="F883" s="109"/>
      <c r="G883" s="110"/>
      <c r="H883" s="110"/>
      <c r="I883" s="285"/>
    </row>
    <row r="884" spans="1:9">
      <c r="A884" s="97" t="s">
        <v>1339</v>
      </c>
      <c r="B884" s="97" t="s">
        <v>418</v>
      </c>
      <c r="C884" s="97" t="s">
        <v>419</v>
      </c>
      <c r="D884" s="98" t="s">
        <v>420</v>
      </c>
      <c r="E884" s="97" t="s">
        <v>421</v>
      </c>
      <c r="F884" s="99" t="s">
        <v>422</v>
      </c>
      <c r="G884" s="97" t="s">
        <v>423</v>
      </c>
      <c r="H884" s="97" t="s">
        <v>424</v>
      </c>
      <c r="I884" s="285"/>
    </row>
    <row r="885" spans="1:9" ht="28.5">
      <c r="A885" s="100" t="s">
        <v>425</v>
      </c>
      <c r="B885" s="100" t="s">
        <v>1340</v>
      </c>
      <c r="C885" s="100" t="s">
        <v>431</v>
      </c>
      <c r="D885" s="101" t="s">
        <v>306</v>
      </c>
      <c r="E885" s="100" t="s">
        <v>8</v>
      </c>
      <c r="F885" s="102">
        <v>1</v>
      </c>
      <c r="G885" s="103">
        <v>137.49</v>
      </c>
      <c r="H885" s="103">
        <v>137.49</v>
      </c>
      <c r="I885" s="285">
        <f>SUM(I886:I888)</f>
        <v>137.508555</v>
      </c>
    </row>
    <row r="886" spans="1:9" ht="28.5">
      <c r="A886" s="111" t="s">
        <v>434</v>
      </c>
      <c r="B886" s="111" t="s">
        <v>1252</v>
      </c>
      <c r="C886" s="111" t="s">
        <v>431</v>
      </c>
      <c r="D886" s="112" t="s">
        <v>1253</v>
      </c>
      <c r="E886" s="111" t="s">
        <v>520</v>
      </c>
      <c r="F886" s="113">
        <v>0.39550000000000002</v>
      </c>
      <c r="G886" s="114">
        <v>23.36</v>
      </c>
      <c r="H886" s="114">
        <v>9.23</v>
      </c>
      <c r="I886" s="285">
        <f t="shared" ref="I886:I896" si="108">F886*G886</f>
        <v>9.23888</v>
      </c>
    </row>
    <row r="887" spans="1:9" ht="28.5">
      <c r="A887" s="111" t="s">
        <v>434</v>
      </c>
      <c r="B887" s="111" t="s">
        <v>1254</v>
      </c>
      <c r="C887" s="111" t="s">
        <v>431</v>
      </c>
      <c r="D887" s="112" t="s">
        <v>1255</v>
      </c>
      <c r="E887" s="111" t="s">
        <v>520</v>
      </c>
      <c r="F887" s="113">
        <v>0.39550000000000002</v>
      </c>
      <c r="G887" s="114">
        <v>17.850000000000001</v>
      </c>
      <c r="H887" s="114">
        <v>7.05</v>
      </c>
      <c r="I887" s="285">
        <f t="shared" si="108"/>
        <v>7.0596750000000013</v>
      </c>
    </row>
    <row r="888" spans="1:9" ht="42.75">
      <c r="A888" s="115" t="s">
        <v>437</v>
      </c>
      <c r="B888" s="115" t="s">
        <v>1341</v>
      </c>
      <c r="C888" s="115" t="s">
        <v>431</v>
      </c>
      <c r="D888" s="116" t="s">
        <v>1342</v>
      </c>
      <c r="E888" s="115" t="s">
        <v>8</v>
      </c>
      <c r="F888" s="117">
        <v>1</v>
      </c>
      <c r="G888" s="118">
        <v>121.21</v>
      </c>
      <c r="H888" s="118">
        <v>121.21</v>
      </c>
      <c r="I888" s="285">
        <f t="shared" si="108"/>
        <v>121.21</v>
      </c>
    </row>
    <row r="889" spans="1:9">
      <c r="A889" s="104"/>
      <c r="B889" s="104"/>
      <c r="C889" s="104"/>
      <c r="D889" s="104"/>
      <c r="E889" s="104"/>
      <c r="F889" s="105"/>
      <c r="G889" s="106"/>
      <c r="H889" s="107"/>
      <c r="I889" s="285"/>
    </row>
    <row r="890" spans="1:9">
      <c r="A890" s="108"/>
      <c r="B890" s="108"/>
      <c r="C890" s="108"/>
      <c r="D890" s="108"/>
      <c r="E890" s="108"/>
      <c r="F890" s="109"/>
      <c r="G890" s="110"/>
      <c r="H890" s="110"/>
      <c r="I890" s="285"/>
    </row>
    <row r="891" spans="1:9">
      <c r="A891" s="97" t="s">
        <v>1343</v>
      </c>
      <c r="B891" s="97" t="s">
        <v>418</v>
      </c>
      <c r="C891" s="97" t="s">
        <v>419</v>
      </c>
      <c r="D891" s="98" t="s">
        <v>420</v>
      </c>
      <c r="E891" s="97" t="s">
        <v>421</v>
      </c>
      <c r="F891" s="99" t="s">
        <v>422</v>
      </c>
      <c r="G891" s="97" t="s">
        <v>423</v>
      </c>
      <c r="H891" s="97" t="s">
        <v>424</v>
      </c>
      <c r="I891" s="285"/>
    </row>
    <row r="892" spans="1:9" ht="28.5">
      <c r="A892" s="100" t="s">
        <v>425</v>
      </c>
      <c r="B892" s="100" t="s">
        <v>1344</v>
      </c>
      <c r="C892" s="100" t="s">
        <v>431</v>
      </c>
      <c r="D892" s="101" t="s">
        <v>308</v>
      </c>
      <c r="E892" s="100" t="s">
        <v>8</v>
      </c>
      <c r="F892" s="102">
        <v>1</v>
      </c>
      <c r="G892" s="103">
        <v>52.11</v>
      </c>
      <c r="H892" s="103">
        <v>52.11</v>
      </c>
      <c r="I892" s="285">
        <f>SUM(I893:I896)</f>
        <v>52.117466</v>
      </c>
    </row>
    <row r="893" spans="1:9" ht="28.5">
      <c r="A893" s="111" t="s">
        <v>434</v>
      </c>
      <c r="B893" s="111" t="s">
        <v>1345</v>
      </c>
      <c r="C893" s="111" t="s">
        <v>431</v>
      </c>
      <c r="D893" s="112" t="s">
        <v>1346</v>
      </c>
      <c r="E893" s="111" t="s">
        <v>468</v>
      </c>
      <c r="F893" s="113">
        <v>1.41E-2</v>
      </c>
      <c r="G893" s="114">
        <v>190.83</v>
      </c>
      <c r="H893" s="114">
        <v>2.69</v>
      </c>
      <c r="I893" s="285">
        <f t="shared" si="108"/>
        <v>2.6907030000000001</v>
      </c>
    </row>
    <row r="894" spans="1:9" ht="28.5">
      <c r="A894" s="111" t="s">
        <v>434</v>
      </c>
      <c r="B894" s="111" t="s">
        <v>521</v>
      </c>
      <c r="C894" s="111" t="s">
        <v>431</v>
      </c>
      <c r="D894" s="112" t="s">
        <v>522</v>
      </c>
      <c r="E894" s="111" t="s">
        <v>520</v>
      </c>
      <c r="F894" s="113">
        <v>0.16930000000000001</v>
      </c>
      <c r="G894" s="114">
        <v>23.1</v>
      </c>
      <c r="H894" s="114">
        <v>3.91</v>
      </c>
      <c r="I894" s="285">
        <f t="shared" si="108"/>
        <v>3.9108300000000003</v>
      </c>
    </row>
    <row r="895" spans="1:9" ht="28.5">
      <c r="A895" s="111" t="s">
        <v>434</v>
      </c>
      <c r="B895" s="111" t="s">
        <v>519</v>
      </c>
      <c r="C895" s="111" t="s">
        <v>431</v>
      </c>
      <c r="D895" s="112" t="s">
        <v>492</v>
      </c>
      <c r="E895" s="111" t="s">
        <v>520</v>
      </c>
      <c r="F895" s="113">
        <v>0.16930000000000001</v>
      </c>
      <c r="G895" s="114">
        <v>16.809999999999999</v>
      </c>
      <c r="H895" s="114">
        <v>2.84</v>
      </c>
      <c r="I895" s="285">
        <f t="shared" si="108"/>
        <v>2.845933</v>
      </c>
    </row>
    <row r="896" spans="1:9" ht="28.5">
      <c r="A896" s="115" t="s">
        <v>437</v>
      </c>
      <c r="B896" s="115" t="s">
        <v>1347</v>
      </c>
      <c r="C896" s="115" t="s">
        <v>431</v>
      </c>
      <c r="D896" s="116" t="s">
        <v>1348</v>
      </c>
      <c r="E896" s="115" t="s">
        <v>8</v>
      </c>
      <c r="F896" s="117">
        <v>1</v>
      </c>
      <c r="G896" s="118">
        <v>42.67</v>
      </c>
      <c r="H896" s="118">
        <v>42.67</v>
      </c>
      <c r="I896" s="285">
        <f t="shared" si="108"/>
        <v>42.67</v>
      </c>
    </row>
    <row r="897" spans="1:9">
      <c r="A897" s="104"/>
      <c r="B897" s="104"/>
      <c r="C897" s="104"/>
      <c r="D897" s="104"/>
      <c r="E897" s="104"/>
      <c r="F897" s="105"/>
      <c r="G897" s="106"/>
      <c r="H897" s="107"/>
      <c r="I897" s="285"/>
    </row>
    <row r="898" spans="1:9">
      <c r="A898" s="108"/>
      <c r="B898" s="108"/>
      <c r="C898" s="108"/>
      <c r="D898" s="108"/>
      <c r="E898" s="108"/>
      <c r="F898" s="109"/>
      <c r="G898" s="110"/>
      <c r="H898" s="110"/>
      <c r="I898" s="285"/>
    </row>
    <row r="899" spans="1:9">
      <c r="A899" s="97" t="s">
        <v>1349</v>
      </c>
      <c r="B899" s="97" t="s">
        <v>418</v>
      </c>
      <c r="C899" s="97" t="s">
        <v>419</v>
      </c>
      <c r="D899" s="98" t="s">
        <v>420</v>
      </c>
      <c r="E899" s="97" t="s">
        <v>421</v>
      </c>
      <c r="F899" s="99" t="s">
        <v>422</v>
      </c>
      <c r="G899" s="97" t="s">
        <v>423</v>
      </c>
      <c r="H899" s="97" t="s">
        <v>424</v>
      </c>
      <c r="I899" s="285"/>
    </row>
    <row r="900" spans="1:9" ht="28.5">
      <c r="A900" s="100" t="s">
        <v>425</v>
      </c>
      <c r="B900" s="100" t="s">
        <v>1350</v>
      </c>
      <c r="C900" s="100" t="s">
        <v>427</v>
      </c>
      <c r="D900" s="101" t="s">
        <v>311</v>
      </c>
      <c r="E900" s="100" t="s">
        <v>31</v>
      </c>
      <c r="F900" s="102">
        <v>1</v>
      </c>
      <c r="G900" s="119" t="s">
        <v>1351</v>
      </c>
      <c r="H900" s="119" t="s">
        <v>1351</v>
      </c>
      <c r="I900" s="285">
        <f>SUM(I901:I903)</f>
        <v>11.472830586000001</v>
      </c>
    </row>
    <row r="901" spans="1:9" ht="28.5">
      <c r="A901" s="111" t="s">
        <v>434</v>
      </c>
      <c r="B901" s="111" t="s">
        <v>1273</v>
      </c>
      <c r="C901" s="111" t="s">
        <v>427</v>
      </c>
      <c r="D901" s="112" t="s">
        <v>1274</v>
      </c>
      <c r="E901" s="111" t="s">
        <v>464</v>
      </c>
      <c r="F901" s="113">
        <v>6.6666600000000006E-2</v>
      </c>
      <c r="G901" s="121" t="s">
        <v>1275</v>
      </c>
      <c r="H901" s="121" t="s">
        <v>1352</v>
      </c>
      <c r="I901" s="285">
        <f t="shared" ref="I901:I903" si="109">F901*G901</f>
        <v>1.1899988100000003</v>
      </c>
    </row>
    <row r="902" spans="1:9" ht="28.5">
      <c r="A902" s="111" t="s">
        <v>434</v>
      </c>
      <c r="B902" s="111" t="s">
        <v>1277</v>
      </c>
      <c r="C902" s="111" t="s">
        <v>427</v>
      </c>
      <c r="D902" s="112" t="s">
        <v>1253</v>
      </c>
      <c r="E902" s="111" t="s">
        <v>464</v>
      </c>
      <c r="F902" s="113">
        <v>6.6666600000000006E-2</v>
      </c>
      <c r="G902" s="121" t="s">
        <v>1278</v>
      </c>
      <c r="H902" s="121" t="s">
        <v>1353</v>
      </c>
      <c r="I902" s="285">
        <f t="shared" si="109"/>
        <v>1.5573317760000001</v>
      </c>
    </row>
    <row r="903" spans="1:9" ht="42.75">
      <c r="A903" s="115" t="s">
        <v>437</v>
      </c>
      <c r="B903" s="115" t="s">
        <v>1354</v>
      </c>
      <c r="C903" s="115" t="s">
        <v>427</v>
      </c>
      <c r="D903" s="116" t="s">
        <v>1355</v>
      </c>
      <c r="E903" s="115" t="s">
        <v>472</v>
      </c>
      <c r="F903" s="117">
        <v>1.05</v>
      </c>
      <c r="G903" s="120" t="s">
        <v>1356</v>
      </c>
      <c r="H903" s="120" t="s">
        <v>1357</v>
      </c>
      <c r="I903" s="285">
        <f t="shared" si="109"/>
        <v>8.7255000000000003</v>
      </c>
    </row>
    <row r="904" spans="1:9">
      <c r="A904" s="104"/>
      <c r="B904" s="104"/>
      <c r="C904" s="104"/>
      <c r="D904" s="104"/>
      <c r="E904" s="104"/>
      <c r="F904" s="105"/>
      <c r="G904" s="106"/>
      <c r="H904" s="107"/>
      <c r="I904" s="285"/>
    </row>
    <row r="905" spans="1:9">
      <c r="A905" s="108"/>
      <c r="B905" s="108"/>
      <c r="C905" s="108"/>
      <c r="D905" s="108"/>
      <c r="E905" s="108"/>
      <c r="F905" s="109"/>
      <c r="G905" s="110"/>
      <c r="H905" s="110"/>
      <c r="I905" s="285"/>
    </row>
    <row r="906" spans="1:9">
      <c r="A906" s="97" t="s">
        <v>1358</v>
      </c>
      <c r="B906" s="97" t="s">
        <v>418</v>
      </c>
      <c r="C906" s="97" t="s">
        <v>419</v>
      </c>
      <c r="D906" s="98" t="s">
        <v>420</v>
      </c>
      <c r="E906" s="97" t="s">
        <v>421</v>
      </c>
      <c r="F906" s="99" t="s">
        <v>422</v>
      </c>
      <c r="G906" s="97" t="s">
        <v>423</v>
      </c>
      <c r="H906" s="97" t="s">
        <v>424</v>
      </c>
      <c r="I906" s="285"/>
    </row>
    <row r="907" spans="1:9" ht="42.75">
      <c r="A907" s="100" t="s">
        <v>425</v>
      </c>
      <c r="B907" s="100" t="s">
        <v>1359</v>
      </c>
      <c r="C907" s="100" t="s">
        <v>622</v>
      </c>
      <c r="D907" s="101" t="s">
        <v>314</v>
      </c>
      <c r="E907" s="100" t="s">
        <v>8</v>
      </c>
      <c r="F907" s="102">
        <v>1</v>
      </c>
      <c r="G907" s="103">
        <v>36.53</v>
      </c>
      <c r="H907" s="103">
        <v>36.53</v>
      </c>
      <c r="I907" s="285">
        <f>SUM(I908:I911)</f>
        <v>36.539006999999998</v>
      </c>
    </row>
    <row r="908" spans="1:9" ht="28.5">
      <c r="A908" s="111" t="s">
        <v>434</v>
      </c>
      <c r="B908" s="111" t="s">
        <v>1254</v>
      </c>
      <c r="C908" s="111" t="s">
        <v>431</v>
      </c>
      <c r="D908" s="112" t="s">
        <v>1255</v>
      </c>
      <c r="E908" s="111" t="s">
        <v>520</v>
      </c>
      <c r="F908" s="113">
        <v>0.49669999999999997</v>
      </c>
      <c r="G908" s="114">
        <v>17.850000000000001</v>
      </c>
      <c r="H908" s="114">
        <v>8.86</v>
      </c>
      <c r="I908" s="285">
        <f t="shared" ref="I908:I911" si="110">F908*G908</f>
        <v>8.8660949999999996</v>
      </c>
    </row>
    <row r="909" spans="1:9" ht="28.5">
      <c r="A909" s="111" t="s">
        <v>434</v>
      </c>
      <c r="B909" s="111" t="s">
        <v>1252</v>
      </c>
      <c r="C909" s="111" t="s">
        <v>431</v>
      </c>
      <c r="D909" s="112" t="s">
        <v>1253</v>
      </c>
      <c r="E909" s="111" t="s">
        <v>520</v>
      </c>
      <c r="F909" s="113">
        <v>0.49669999999999997</v>
      </c>
      <c r="G909" s="114">
        <v>23.36</v>
      </c>
      <c r="H909" s="114">
        <v>11.6</v>
      </c>
      <c r="I909" s="285">
        <f t="shared" si="110"/>
        <v>11.602912</v>
      </c>
    </row>
    <row r="910" spans="1:9" ht="28.5">
      <c r="A910" s="115" t="s">
        <v>437</v>
      </c>
      <c r="B910" s="115" t="s">
        <v>1331</v>
      </c>
      <c r="C910" s="115" t="s">
        <v>431</v>
      </c>
      <c r="D910" s="116" t="s">
        <v>1332</v>
      </c>
      <c r="E910" s="115" t="s">
        <v>8</v>
      </c>
      <c r="F910" s="117">
        <v>1</v>
      </c>
      <c r="G910" s="118">
        <v>15.75</v>
      </c>
      <c r="H910" s="118">
        <v>15.75</v>
      </c>
      <c r="I910" s="285">
        <f t="shared" si="110"/>
        <v>15.75</v>
      </c>
    </row>
    <row r="911" spans="1:9" ht="42.75">
      <c r="A911" s="115" t="s">
        <v>437</v>
      </c>
      <c r="B911" s="115" t="s">
        <v>1360</v>
      </c>
      <c r="C911" s="115" t="s">
        <v>431</v>
      </c>
      <c r="D911" s="116" t="s">
        <v>1361</v>
      </c>
      <c r="E911" s="115" t="s">
        <v>8</v>
      </c>
      <c r="F911" s="117">
        <v>2</v>
      </c>
      <c r="G911" s="118">
        <v>0.16</v>
      </c>
      <c r="H911" s="118">
        <v>0.32</v>
      </c>
      <c r="I911" s="285">
        <f t="shared" si="110"/>
        <v>0.32</v>
      </c>
    </row>
    <row r="912" spans="1:9">
      <c r="A912" s="104"/>
      <c r="B912" s="104"/>
      <c r="C912" s="104"/>
      <c r="D912" s="104"/>
      <c r="E912" s="104"/>
      <c r="F912" s="105"/>
      <c r="G912" s="106"/>
      <c r="H912" s="107"/>
      <c r="I912" s="285"/>
    </row>
    <row r="913" spans="1:18">
      <c r="A913" s="108"/>
      <c r="B913" s="108"/>
      <c r="C913" s="108"/>
      <c r="D913" s="108"/>
      <c r="E913" s="108"/>
      <c r="F913" s="109"/>
      <c r="G913" s="110"/>
      <c r="H913" s="110"/>
      <c r="I913" s="285"/>
    </row>
    <row r="914" spans="1:18">
      <c r="A914" s="97" t="s">
        <v>1362</v>
      </c>
      <c r="B914" s="97" t="s">
        <v>418</v>
      </c>
      <c r="C914" s="97" t="s">
        <v>419</v>
      </c>
      <c r="D914" s="98" t="s">
        <v>420</v>
      </c>
      <c r="E914" s="97" t="s">
        <v>421</v>
      </c>
      <c r="F914" s="99" t="s">
        <v>422</v>
      </c>
      <c r="G914" s="97" t="s">
        <v>423</v>
      </c>
      <c r="H914" s="97" t="s">
        <v>424</v>
      </c>
      <c r="I914" s="285"/>
    </row>
    <row r="915" spans="1:18" ht="42.75">
      <c r="A915" s="100" t="s">
        <v>425</v>
      </c>
      <c r="B915" s="100" t="s">
        <v>1363</v>
      </c>
      <c r="C915" s="100" t="s">
        <v>622</v>
      </c>
      <c r="D915" s="101" t="s">
        <v>317</v>
      </c>
      <c r="E915" s="100" t="s">
        <v>8</v>
      </c>
      <c r="F915" s="102">
        <v>1</v>
      </c>
      <c r="G915" s="119" t="s">
        <v>1364</v>
      </c>
      <c r="H915" s="119" t="s">
        <v>1364</v>
      </c>
      <c r="I915" s="285">
        <f>SUM(I916:I921)</f>
        <v>34.2136</v>
      </c>
    </row>
    <row r="916" spans="1:18" ht="28.5">
      <c r="A916" s="111" t="s">
        <v>434</v>
      </c>
      <c r="B916" s="111" t="s">
        <v>1254</v>
      </c>
      <c r="C916" s="111" t="s">
        <v>431</v>
      </c>
      <c r="D916" s="112" t="s">
        <v>1255</v>
      </c>
      <c r="E916" s="111" t="s">
        <v>520</v>
      </c>
      <c r="F916" s="113">
        <v>0.16</v>
      </c>
      <c r="G916" s="121" t="s">
        <v>1275</v>
      </c>
      <c r="H916" s="121" t="s">
        <v>1365</v>
      </c>
      <c r="I916" s="285">
        <f t="shared" ref="I916:I921" si="111">F916*G916</f>
        <v>2.8560000000000003</v>
      </c>
    </row>
    <row r="917" spans="1:18" ht="28.5">
      <c r="A917" s="111" t="s">
        <v>434</v>
      </c>
      <c r="B917" s="111" t="s">
        <v>1252</v>
      </c>
      <c r="C917" s="111" t="s">
        <v>431</v>
      </c>
      <c r="D917" s="112" t="s">
        <v>1253</v>
      </c>
      <c r="E917" s="111" t="s">
        <v>520</v>
      </c>
      <c r="F917" s="113">
        <v>0.16</v>
      </c>
      <c r="G917" s="121" t="s">
        <v>1278</v>
      </c>
      <c r="H917" s="121" t="s">
        <v>1366</v>
      </c>
      <c r="I917" s="285">
        <f t="shared" si="111"/>
        <v>3.7376</v>
      </c>
    </row>
    <row r="918" spans="1:18" ht="28.5">
      <c r="A918" s="115" t="s">
        <v>437</v>
      </c>
      <c r="B918" s="115" t="s">
        <v>1331</v>
      </c>
      <c r="C918" s="115" t="s">
        <v>431</v>
      </c>
      <c r="D918" s="116" t="s">
        <v>1332</v>
      </c>
      <c r="E918" s="115" t="s">
        <v>8</v>
      </c>
      <c r="F918" s="117">
        <v>1</v>
      </c>
      <c r="G918" s="120" t="s">
        <v>1367</v>
      </c>
      <c r="H918" s="120" t="s">
        <v>1367</v>
      </c>
      <c r="I918" s="285">
        <f t="shared" si="111"/>
        <v>15.75</v>
      </c>
    </row>
    <row r="919" spans="1:18" ht="42.75">
      <c r="A919" s="115" t="s">
        <v>437</v>
      </c>
      <c r="B919" s="115" t="s">
        <v>1337</v>
      </c>
      <c r="C919" s="115" t="s">
        <v>431</v>
      </c>
      <c r="D919" s="116" t="s">
        <v>1338</v>
      </c>
      <c r="E919" s="115" t="s">
        <v>8</v>
      </c>
      <c r="F919" s="117">
        <v>1</v>
      </c>
      <c r="G919" s="120" t="s">
        <v>539</v>
      </c>
      <c r="H919" s="120" t="s">
        <v>539</v>
      </c>
      <c r="I919" s="285">
        <f t="shared" si="111"/>
        <v>2.0099999999999998</v>
      </c>
    </row>
    <row r="920" spans="1:18">
      <c r="A920" s="115" t="s">
        <v>437</v>
      </c>
      <c r="B920" s="115" t="s">
        <v>1368</v>
      </c>
      <c r="C920" s="115" t="s">
        <v>431</v>
      </c>
      <c r="D920" s="116" t="s">
        <v>1369</v>
      </c>
      <c r="E920" s="115" t="s">
        <v>8</v>
      </c>
      <c r="F920" s="117">
        <v>1</v>
      </c>
      <c r="G920" s="120" t="s">
        <v>1370</v>
      </c>
      <c r="H920" s="120" t="s">
        <v>1370</v>
      </c>
      <c r="I920" s="285">
        <f t="shared" si="111"/>
        <v>6.68</v>
      </c>
    </row>
    <row r="921" spans="1:18" ht="42.75">
      <c r="A921" s="115" t="s">
        <v>437</v>
      </c>
      <c r="B921" s="115" t="s">
        <v>1371</v>
      </c>
      <c r="C921" s="115" t="s">
        <v>427</v>
      </c>
      <c r="D921" s="116" t="s">
        <v>1372</v>
      </c>
      <c r="E921" s="115" t="s">
        <v>676</v>
      </c>
      <c r="F921" s="117">
        <v>1</v>
      </c>
      <c r="G921" s="120" t="s">
        <v>1373</v>
      </c>
      <c r="H921" s="120" t="s">
        <v>1373</v>
      </c>
      <c r="I921" s="285">
        <f t="shared" si="111"/>
        <v>3.18</v>
      </c>
    </row>
    <row r="922" spans="1:18">
      <c r="A922" s="104"/>
      <c r="B922" s="104"/>
      <c r="C922" s="104"/>
      <c r="D922" s="104"/>
      <c r="E922" s="104"/>
      <c r="F922" s="105"/>
      <c r="G922" s="106"/>
      <c r="H922" s="107"/>
      <c r="I922" s="285"/>
    </row>
    <row r="923" spans="1:18">
      <c r="A923" s="108"/>
      <c r="B923" s="108"/>
      <c r="C923" s="108"/>
      <c r="D923" s="108"/>
      <c r="E923" s="108"/>
      <c r="F923" s="109"/>
      <c r="G923" s="110"/>
      <c r="H923" s="110"/>
      <c r="I923" s="285"/>
    </row>
    <row r="924" spans="1:18">
      <c r="A924" s="92" t="s">
        <v>1374</v>
      </c>
      <c r="B924" s="92"/>
      <c r="C924" s="92"/>
      <c r="D924" s="93" t="s">
        <v>320</v>
      </c>
      <c r="E924" s="94"/>
      <c r="F924" s="95"/>
      <c r="G924" s="92"/>
      <c r="H924" s="96"/>
      <c r="I924" s="285"/>
    </row>
    <row r="925" spans="1:18">
      <c r="A925" s="97" t="s">
        <v>1375</v>
      </c>
      <c r="B925" s="97" t="s">
        <v>418</v>
      </c>
      <c r="C925" s="97" t="s">
        <v>419</v>
      </c>
      <c r="D925" s="98" t="s">
        <v>420</v>
      </c>
      <c r="E925" s="97" t="s">
        <v>421</v>
      </c>
      <c r="F925" s="99" t="s">
        <v>422</v>
      </c>
      <c r="G925" s="97" t="s">
        <v>423</v>
      </c>
      <c r="H925" s="97" t="s">
        <v>424</v>
      </c>
      <c r="I925" s="285"/>
    </row>
    <row r="926" spans="1:18" ht="28.5">
      <c r="A926" s="100" t="s">
        <v>425</v>
      </c>
      <c r="B926" s="100" t="s">
        <v>1376</v>
      </c>
      <c r="C926" s="100" t="s">
        <v>427</v>
      </c>
      <c r="D926" s="101" t="s">
        <v>323</v>
      </c>
      <c r="E926" s="100" t="s">
        <v>451</v>
      </c>
      <c r="F926" s="102">
        <v>1</v>
      </c>
      <c r="G926" s="119">
        <v>5.69</v>
      </c>
      <c r="H926" s="119">
        <v>5.69</v>
      </c>
      <c r="I926" s="285">
        <f>SUM(I927:I931)</f>
        <v>5.7177319089999994</v>
      </c>
      <c r="J926" s="100" t="s">
        <v>425</v>
      </c>
      <c r="K926" s="100" t="s">
        <v>1376</v>
      </c>
      <c r="L926" s="100" t="s">
        <v>427</v>
      </c>
      <c r="M926" s="101" t="s">
        <v>323</v>
      </c>
      <c r="N926" s="100" t="s">
        <v>451</v>
      </c>
      <c r="O926" s="102">
        <v>1</v>
      </c>
      <c r="P926" s="119" t="s">
        <v>1377</v>
      </c>
      <c r="Q926" s="119" t="s">
        <v>1377</v>
      </c>
      <c r="R926" s="285">
        <f>SUM(R927:R931)</f>
        <v>6.1149419720000004</v>
      </c>
    </row>
    <row r="927" spans="1:18" ht="28.5">
      <c r="A927" s="111" t="s">
        <v>434</v>
      </c>
      <c r="B927" s="111" t="s">
        <v>491</v>
      </c>
      <c r="C927" s="111" t="s">
        <v>427</v>
      </c>
      <c r="D927" s="112" t="s">
        <v>492</v>
      </c>
      <c r="E927" s="111" t="s">
        <v>1576</v>
      </c>
      <c r="F927" s="113">
        <v>0.3125</v>
      </c>
      <c r="G927" s="121">
        <v>16.809999999999999</v>
      </c>
      <c r="H927" s="121">
        <v>5.25</v>
      </c>
      <c r="I927" s="285">
        <f t="shared" ref="I927:I931" si="112">F927*G927</f>
        <v>5.2531249999999998</v>
      </c>
      <c r="J927" s="111" t="s">
        <v>434</v>
      </c>
      <c r="K927" s="111" t="s">
        <v>491</v>
      </c>
      <c r="L927" s="111" t="s">
        <v>427</v>
      </c>
      <c r="M927" s="112" t="s">
        <v>492</v>
      </c>
      <c r="N927" s="111" t="s">
        <v>464</v>
      </c>
      <c r="O927" s="113">
        <v>0.3125</v>
      </c>
      <c r="P927" s="121" t="s">
        <v>493</v>
      </c>
      <c r="Q927" s="121" t="s">
        <v>1378</v>
      </c>
      <c r="R927" s="285">
        <f t="shared" ref="R927:R931" si="113">O927*P927</f>
        <v>5.2531249999999998</v>
      </c>
    </row>
    <row r="928" spans="1:18" ht="28.5">
      <c r="A928" s="287" t="s">
        <v>437</v>
      </c>
      <c r="B928" s="287" t="s">
        <v>1387</v>
      </c>
      <c r="C928" s="287" t="s">
        <v>427</v>
      </c>
      <c r="D928" s="288" t="s">
        <v>1388</v>
      </c>
      <c r="E928" s="287" t="s">
        <v>476</v>
      </c>
      <c r="F928" s="289">
        <v>8.0000000000000002E-3</v>
      </c>
      <c r="G928" s="291">
        <v>13.42</v>
      </c>
      <c r="H928" s="120">
        <v>0.1</v>
      </c>
      <c r="I928" s="285">
        <f t="shared" si="112"/>
        <v>0.10736</v>
      </c>
      <c r="J928" s="271" t="s">
        <v>437</v>
      </c>
      <c r="K928" s="271" t="s">
        <v>1379</v>
      </c>
      <c r="L928" s="271" t="s">
        <v>427</v>
      </c>
      <c r="M928" s="272" t="s">
        <v>1380</v>
      </c>
      <c r="N928" s="271" t="s">
        <v>671</v>
      </c>
      <c r="O928" s="273">
        <v>0.05</v>
      </c>
      <c r="P928" s="270" t="s">
        <v>1381</v>
      </c>
      <c r="Q928" s="120" t="s">
        <v>1382</v>
      </c>
      <c r="R928" s="285">
        <f t="shared" si="113"/>
        <v>0.67100000000000004</v>
      </c>
    </row>
    <row r="929" spans="1:18" ht="27" customHeight="1">
      <c r="A929" s="287" t="s">
        <v>437</v>
      </c>
      <c r="B929" s="287" t="s">
        <v>1379</v>
      </c>
      <c r="C929" s="287" t="s">
        <v>427</v>
      </c>
      <c r="D929" s="288" t="s">
        <v>1380</v>
      </c>
      <c r="E929" s="287" t="s">
        <v>671</v>
      </c>
      <c r="F929" s="289">
        <v>0.05</v>
      </c>
      <c r="G929" s="291">
        <v>3.31</v>
      </c>
      <c r="H929" s="120">
        <v>0.16</v>
      </c>
      <c r="I929" s="285">
        <f t="shared" si="112"/>
        <v>0.16550000000000001</v>
      </c>
      <c r="J929" s="271" t="s">
        <v>437</v>
      </c>
      <c r="K929" s="271" t="s">
        <v>1383</v>
      </c>
      <c r="L929" s="271" t="s">
        <v>427</v>
      </c>
      <c r="M929" s="272" t="s">
        <v>1384</v>
      </c>
      <c r="N929" s="271" t="s">
        <v>671</v>
      </c>
      <c r="O929" s="273">
        <v>0.02</v>
      </c>
      <c r="P929" s="270" t="s">
        <v>1385</v>
      </c>
      <c r="Q929" s="120" t="s">
        <v>1386</v>
      </c>
      <c r="R929" s="285">
        <f t="shared" si="113"/>
        <v>6.6200000000000009E-2</v>
      </c>
    </row>
    <row r="930" spans="1:18" ht="28.5">
      <c r="A930" s="287" t="s">
        <v>437</v>
      </c>
      <c r="B930" s="287" t="s">
        <v>679</v>
      </c>
      <c r="C930" s="287" t="s">
        <v>427</v>
      </c>
      <c r="D930" s="288" t="s">
        <v>680</v>
      </c>
      <c r="E930" s="287" t="s">
        <v>671</v>
      </c>
      <c r="F930" s="289">
        <v>1.1904700000000001E-2</v>
      </c>
      <c r="G930" s="291">
        <v>11.47</v>
      </c>
      <c r="H930" s="280">
        <v>0.13</v>
      </c>
      <c r="I930" s="285">
        <f t="shared" si="112"/>
        <v>0.13654690900000002</v>
      </c>
      <c r="J930" s="271" t="s">
        <v>437</v>
      </c>
      <c r="K930" s="271" t="s">
        <v>1387</v>
      </c>
      <c r="L930" s="271" t="s">
        <v>427</v>
      </c>
      <c r="M930" s="272" t="s">
        <v>1388</v>
      </c>
      <c r="N930" s="271" t="s">
        <v>476</v>
      </c>
      <c r="O930" s="273">
        <v>8.0000000000000002E-3</v>
      </c>
      <c r="P930" s="270" t="s">
        <v>677</v>
      </c>
      <c r="Q930" s="280" t="s">
        <v>1389</v>
      </c>
      <c r="R930" s="285">
        <f t="shared" si="113"/>
        <v>9.1760000000000008E-2</v>
      </c>
    </row>
    <row r="931" spans="1:18" ht="28.5">
      <c r="A931" s="287" t="s">
        <v>437</v>
      </c>
      <c r="B931" s="287" t="s">
        <v>1383</v>
      </c>
      <c r="C931" s="287" t="s">
        <v>427</v>
      </c>
      <c r="D931" s="288" t="s">
        <v>1384</v>
      </c>
      <c r="E931" s="287" t="s">
        <v>671</v>
      </c>
      <c r="F931" s="289">
        <v>0.02</v>
      </c>
      <c r="G931" s="291">
        <v>2.76</v>
      </c>
      <c r="H931" s="280">
        <v>0.05</v>
      </c>
      <c r="I931" s="285">
        <f t="shared" si="112"/>
        <v>5.5199999999999999E-2</v>
      </c>
      <c r="J931" s="271" t="s">
        <v>437</v>
      </c>
      <c r="K931" s="271" t="s">
        <v>679</v>
      </c>
      <c r="L931" s="271" t="s">
        <v>427</v>
      </c>
      <c r="M931" s="272" t="s">
        <v>680</v>
      </c>
      <c r="N931" s="271" t="s">
        <v>671</v>
      </c>
      <c r="O931" s="273">
        <v>1.1904700000000001E-2</v>
      </c>
      <c r="P931" s="270" t="s">
        <v>1390</v>
      </c>
      <c r="Q931" s="280" t="s">
        <v>1391</v>
      </c>
      <c r="R931" s="285">
        <f t="shared" si="113"/>
        <v>3.2856971999999998E-2</v>
      </c>
    </row>
    <row r="932" spans="1:18">
      <c r="A932" s="104"/>
      <c r="B932" s="104"/>
      <c r="C932" s="104"/>
      <c r="D932" s="104"/>
      <c r="E932" s="104"/>
      <c r="F932" s="105"/>
      <c r="G932" s="106"/>
      <c r="H932" s="107"/>
      <c r="I932" s="285"/>
    </row>
    <row r="933" spans="1:18">
      <c r="A933" s="108"/>
      <c r="B933" s="108"/>
      <c r="C933" s="108"/>
      <c r="D933" s="108"/>
      <c r="E933" s="108"/>
      <c r="F933" s="109"/>
      <c r="G933" s="110"/>
      <c r="H933" s="110"/>
      <c r="I933" s="285"/>
    </row>
    <row r="934" spans="1:18">
      <c r="A934" s="97" t="s">
        <v>1392</v>
      </c>
      <c r="B934" s="97" t="s">
        <v>418</v>
      </c>
      <c r="C934" s="97" t="s">
        <v>419</v>
      </c>
      <c r="D934" s="98" t="s">
        <v>420</v>
      </c>
      <c r="E934" s="97" t="s">
        <v>421</v>
      </c>
      <c r="F934" s="99" t="s">
        <v>422</v>
      </c>
      <c r="G934" s="97" t="s">
        <v>423</v>
      </c>
      <c r="H934" s="97" t="s">
        <v>424</v>
      </c>
      <c r="I934" s="285"/>
    </row>
    <row r="935" spans="1:18" ht="28.5">
      <c r="A935" s="100" t="s">
        <v>425</v>
      </c>
      <c r="B935" s="100" t="s">
        <v>524</v>
      </c>
      <c r="C935" s="100" t="s">
        <v>431</v>
      </c>
      <c r="D935" s="101" t="s">
        <v>325</v>
      </c>
      <c r="E935" s="100" t="s">
        <v>468</v>
      </c>
      <c r="F935" s="102">
        <v>1</v>
      </c>
      <c r="G935" s="103">
        <v>66.5</v>
      </c>
      <c r="H935" s="103">
        <v>66.5</v>
      </c>
      <c r="I935" s="285">
        <f>SUM(I936)</f>
        <v>66.500360000000001</v>
      </c>
    </row>
    <row r="936" spans="1:18" ht="28.5">
      <c r="A936" s="111" t="s">
        <v>434</v>
      </c>
      <c r="B936" s="111" t="s">
        <v>519</v>
      </c>
      <c r="C936" s="111" t="s">
        <v>431</v>
      </c>
      <c r="D936" s="112" t="s">
        <v>492</v>
      </c>
      <c r="E936" s="111" t="s">
        <v>520</v>
      </c>
      <c r="F936" s="113">
        <v>3.956</v>
      </c>
      <c r="G936" s="114">
        <v>16.809999999999999</v>
      </c>
      <c r="H936" s="114">
        <v>66.5</v>
      </c>
      <c r="I936" s="285">
        <f t="shared" ref="I936:I943" si="114">F936*G936</f>
        <v>66.500360000000001</v>
      </c>
    </row>
    <row r="937" spans="1:18">
      <c r="A937" s="104"/>
      <c r="B937" s="104"/>
      <c r="C937" s="104"/>
      <c r="D937" s="104"/>
      <c r="E937" s="104"/>
      <c r="F937" s="105"/>
      <c r="G937" s="106"/>
      <c r="H937" s="107"/>
      <c r="I937" s="285"/>
    </row>
    <row r="938" spans="1:18">
      <c r="A938" s="108"/>
      <c r="B938" s="108"/>
      <c r="C938" s="108"/>
      <c r="D938" s="108"/>
      <c r="E938" s="108"/>
      <c r="F938" s="109"/>
      <c r="G938" s="110"/>
      <c r="H938" s="110"/>
      <c r="I938" s="285"/>
    </row>
    <row r="939" spans="1:18">
      <c r="A939" s="97" t="s">
        <v>1393</v>
      </c>
      <c r="B939" s="97" t="s">
        <v>418</v>
      </c>
      <c r="C939" s="97" t="s">
        <v>419</v>
      </c>
      <c r="D939" s="98" t="s">
        <v>420</v>
      </c>
      <c r="E939" s="97" t="s">
        <v>421</v>
      </c>
      <c r="F939" s="99" t="s">
        <v>422</v>
      </c>
      <c r="G939" s="97" t="s">
        <v>423</v>
      </c>
      <c r="H939" s="97" t="s">
        <v>424</v>
      </c>
      <c r="I939" s="285"/>
    </row>
    <row r="940" spans="1:18" ht="28.5">
      <c r="A940" s="100" t="s">
        <v>425</v>
      </c>
      <c r="B940" s="100" t="s">
        <v>1394</v>
      </c>
      <c r="C940" s="100" t="s">
        <v>427</v>
      </c>
      <c r="D940" s="101" t="s">
        <v>328</v>
      </c>
      <c r="E940" s="100" t="s">
        <v>542</v>
      </c>
      <c r="F940" s="102">
        <v>1</v>
      </c>
      <c r="G940" s="119" t="s">
        <v>1395</v>
      </c>
      <c r="H940" s="119" t="s">
        <v>1395</v>
      </c>
      <c r="I940" s="285">
        <f>SUM(I941:I943)</f>
        <v>44.59</v>
      </c>
    </row>
    <row r="941" spans="1:18" ht="28.5">
      <c r="A941" s="111" t="s">
        <v>434</v>
      </c>
      <c r="B941" s="111" t="s">
        <v>536</v>
      </c>
      <c r="C941" s="111" t="s">
        <v>427</v>
      </c>
      <c r="D941" s="112" t="s">
        <v>522</v>
      </c>
      <c r="E941" s="111" t="s">
        <v>464</v>
      </c>
      <c r="F941" s="113">
        <v>0.5</v>
      </c>
      <c r="G941" s="121" t="s">
        <v>537</v>
      </c>
      <c r="H941" s="121" t="s">
        <v>993</v>
      </c>
      <c r="I941" s="285">
        <f t="shared" si="114"/>
        <v>11.55</v>
      </c>
    </row>
    <row r="942" spans="1:18" ht="42.75">
      <c r="A942" s="115" t="s">
        <v>437</v>
      </c>
      <c r="B942" s="115" t="s">
        <v>1396</v>
      </c>
      <c r="C942" s="115" t="s">
        <v>427</v>
      </c>
      <c r="D942" s="116" t="s">
        <v>1397</v>
      </c>
      <c r="E942" s="115" t="s">
        <v>676</v>
      </c>
      <c r="F942" s="117">
        <v>4</v>
      </c>
      <c r="G942" s="120" t="s">
        <v>1398</v>
      </c>
      <c r="H942" s="120" t="s">
        <v>1399</v>
      </c>
      <c r="I942" s="285">
        <f t="shared" si="114"/>
        <v>2.44</v>
      </c>
    </row>
    <row r="943" spans="1:18" ht="28.5">
      <c r="A943" s="115" t="s">
        <v>437</v>
      </c>
      <c r="B943" s="115" t="s">
        <v>1400</v>
      </c>
      <c r="C943" s="115" t="s">
        <v>427</v>
      </c>
      <c r="D943" s="116" t="s">
        <v>1401</v>
      </c>
      <c r="E943" s="115" t="s">
        <v>542</v>
      </c>
      <c r="F943" s="117">
        <v>1</v>
      </c>
      <c r="G943" s="120" t="s">
        <v>1402</v>
      </c>
      <c r="H943" s="120" t="s">
        <v>1402</v>
      </c>
      <c r="I943" s="285">
        <f t="shared" si="114"/>
        <v>30.6</v>
      </c>
    </row>
    <row r="944" spans="1:18">
      <c r="A944" s="104"/>
      <c r="B944" s="104"/>
      <c r="C944" s="104"/>
      <c r="D944" s="104"/>
      <c r="E944" s="104"/>
      <c r="F944" s="105"/>
      <c r="G944" s="106"/>
      <c r="H944" s="107"/>
      <c r="I944" s="285"/>
    </row>
    <row r="945" spans="1:9">
      <c r="A945" s="108"/>
      <c r="B945" s="108"/>
      <c r="C945" s="108"/>
      <c r="D945" s="108"/>
      <c r="E945" s="108"/>
      <c r="F945" s="109"/>
      <c r="G945" s="110"/>
      <c r="H945" s="110"/>
      <c r="I945" s="285"/>
    </row>
    <row r="946" spans="1:9">
      <c r="A946" s="97" t="s">
        <v>1403</v>
      </c>
      <c r="B946" s="97" t="s">
        <v>418</v>
      </c>
      <c r="C946" s="97" t="s">
        <v>419</v>
      </c>
      <c r="D946" s="98" t="s">
        <v>420</v>
      </c>
      <c r="E946" s="97" t="s">
        <v>421</v>
      </c>
      <c r="F946" s="99" t="s">
        <v>422</v>
      </c>
      <c r="G946" s="97" t="s">
        <v>423</v>
      </c>
      <c r="H946" s="97" t="s">
        <v>424</v>
      </c>
      <c r="I946" s="285"/>
    </row>
    <row r="947" spans="1:9" ht="28.5">
      <c r="A947" s="100" t="s">
        <v>425</v>
      </c>
      <c r="B947" s="100" t="s">
        <v>1404</v>
      </c>
      <c r="C947" s="100" t="s">
        <v>622</v>
      </c>
      <c r="D947" s="101" t="s">
        <v>331</v>
      </c>
      <c r="E947" s="100" t="s">
        <v>8</v>
      </c>
      <c r="F947" s="102">
        <v>1</v>
      </c>
      <c r="G947" s="103">
        <v>48.61</v>
      </c>
      <c r="H947" s="103">
        <v>48.61</v>
      </c>
      <c r="I947" s="285">
        <f>SUM(I948:I949)</f>
        <v>48.61</v>
      </c>
    </row>
    <row r="948" spans="1:9" ht="28.5">
      <c r="A948" s="111" t="s">
        <v>434</v>
      </c>
      <c r="B948" s="111" t="s">
        <v>521</v>
      </c>
      <c r="C948" s="111" t="s">
        <v>431</v>
      </c>
      <c r="D948" s="112" t="s">
        <v>522</v>
      </c>
      <c r="E948" s="111" t="s">
        <v>520</v>
      </c>
      <c r="F948" s="113">
        <v>0.1</v>
      </c>
      <c r="G948" s="114">
        <v>23.1</v>
      </c>
      <c r="H948" s="114">
        <v>2.31</v>
      </c>
      <c r="I948" s="285">
        <f t="shared" ref="I948:I949" si="115">F948*G948</f>
        <v>2.31</v>
      </c>
    </row>
    <row r="949" spans="1:9" ht="28.5">
      <c r="A949" s="115" t="s">
        <v>437</v>
      </c>
      <c r="B949" s="115" t="s">
        <v>1405</v>
      </c>
      <c r="C949" s="115" t="s">
        <v>622</v>
      </c>
      <c r="D949" s="116" t="s">
        <v>1406</v>
      </c>
      <c r="E949" s="115" t="s">
        <v>184</v>
      </c>
      <c r="F949" s="117">
        <v>1</v>
      </c>
      <c r="G949" s="118">
        <v>46.3</v>
      </c>
      <c r="H949" s="118">
        <v>46.3</v>
      </c>
      <c r="I949" s="285">
        <f t="shared" si="115"/>
        <v>46.3</v>
      </c>
    </row>
    <row r="950" spans="1:9">
      <c r="A950" s="104"/>
      <c r="B950" s="104"/>
      <c r="C950" s="104"/>
      <c r="D950" s="104"/>
      <c r="E950" s="104"/>
      <c r="F950" s="105"/>
      <c r="G950" s="106"/>
      <c r="H950" s="107"/>
      <c r="I950" s="285"/>
    </row>
    <row r="951" spans="1:9">
      <c r="A951" s="108"/>
      <c r="B951" s="108"/>
      <c r="C951" s="108"/>
      <c r="D951" s="108"/>
      <c r="E951" s="108"/>
      <c r="F951" s="109"/>
      <c r="G951" s="110"/>
      <c r="H951" s="110"/>
      <c r="I951" s="285"/>
    </row>
    <row r="952" spans="1:9" ht="30">
      <c r="A952" s="92" t="s">
        <v>1407</v>
      </c>
      <c r="B952" s="92"/>
      <c r="C952" s="92"/>
      <c r="D952" s="93" t="s">
        <v>333</v>
      </c>
      <c r="E952" s="94"/>
      <c r="F952" s="95"/>
      <c r="G952" s="92"/>
      <c r="H952" s="96"/>
      <c r="I952" s="285"/>
    </row>
    <row r="953" spans="1:9">
      <c r="A953" s="92" t="s">
        <v>1408</v>
      </c>
      <c r="B953" s="92"/>
      <c r="C953" s="92"/>
      <c r="D953" s="93" t="s">
        <v>38</v>
      </c>
      <c r="E953" s="94"/>
      <c r="F953" s="95"/>
      <c r="G953" s="92"/>
      <c r="H953" s="96"/>
      <c r="I953" s="285"/>
    </row>
    <row r="954" spans="1:9">
      <c r="A954" s="92" t="s">
        <v>1409</v>
      </c>
      <c r="B954" s="92"/>
      <c r="C954" s="92"/>
      <c r="D954" s="93" t="s">
        <v>336</v>
      </c>
      <c r="E954" s="94"/>
      <c r="F954" s="95"/>
      <c r="G954" s="92"/>
      <c r="H954" s="96"/>
      <c r="I954" s="285"/>
    </row>
    <row r="955" spans="1:9">
      <c r="A955" s="97" t="s">
        <v>1410</v>
      </c>
      <c r="B955" s="97" t="s">
        <v>418</v>
      </c>
      <c r="C955" s="97" t="s">
        <v>419</v>
      </c>
      <c r="D955" s="98" t="s">
        <v>420</v>
      </c>
      <c r="E955" s="97" t="s">
        <v>421</v>
      </c>
      <c r="F955" s="99" t="s">
        <v>422</v>
      </c>
      <c r="G955" s="97" t="s">
        <v>423</v>
      </c>
      <c r="H955" s="97" t="s">
        <v>424</v>
      </c>
      <c r="I955" s="285"/>
    </row>
    <row r="956" spans="1:9">
      <c r="A956" s="100" t="s">
        <v>425</v>
      </c>
      <c r="B956" s="100" t="s">
        <v>524</v>
      </c>
      <c r="C956" s="100" t="s">
        <v>431</v>
      </c>
      <c r="D956" s="101" t="s">
        <v>338</v>
      </c>
      <c r="E956" s="100" t="s">
        <v>468</v>
      </c>
      <c r="F956" s="102">
        <v>1</v>
      </c>
      <c r="G956" s="103">
        <v>66.5</v>
      </c>
      <c r="H956" s="103">
        <v>66.5</v>
      </c>
      <c r="I956" s="285">
        <f>SUM(I957)</f>
        <v>66.500360000000001</v>
      </c>
    </row>
    <row r="957" spans="1:9" ht="28.5">
      <c r="A957" s="111" t="s">
        <v>434</v>
      </c>
      <c r="B957" s="111" t="s">
        <v>519</v>
      </c>
      <c r="C957" s="111" t="s">
        <v>431</v>
      </c>
      <c r="D957" s="112" t="s">
        <v>492</v>
      </c>
      <c r="E957" s="111" t="s">
        <v>520</v>
      </c>
      <c r="F957" s="113">
        <v>3.956</v>
      </c>
      <c r="G957" s="114">
        <v>16.809999999999999</v>
      </c>
      <c r="H957" s="114">
        <v>66.5</v>
      </c>
      <c r="I957" s="285">
        <f t="shared" ref="I957" si="116">F957*G957</f>
        <v>66.500360000000001</v>
      </c>
    </row>
    <row r="958" spans="1:9">
      <c r="A958" s="104"/>
      <c r="B958" s="104"/>
      <c r="C958" s="104"/>
      <c r="D958" s="104"/>
      <c r="E958" s="104"/>
      <c r="F958" s="105"/>
      <c r="G958" s="106"/>
      <c r="H958" s="107"/>
      <c r="I958" s="285"/>
    </row>
    <row r="959" spans="1:9">
      <c r="A959" s="108"/>
      <c r="B959" s="108"/>
      <c r="C959" s="108"/>
      <c r="D959" s="108"/>
      <c r="E959" s="108"/>
      <c r="F959" s="109"/>
      <c r="G959" s="110"/>
      <c r="H959" s="110"/>
      <c r="I959" s="285"/>
    </row>
    <row r="960" spans="1:9">
      <c r="A960" s="97" t="s">
        <v>1411</v>
      </c>
      <c r="B960" s="97" t="s">
        <v>418</v>
      </c>
      <c r="C960" s="97" t="s">
        <v>419</v>
      </c>
      <c r="D960" s="98" t="s">
        <v>420</v>
      </c>
      <c r="E960" s="97" t="s">
        <v>421</v>
      </c>
      <c r="F960" s="99" t="s">
        <v>422</v>
      </c>
      <c r="G960" s="97" t="s">
        <v>423</v>
      </c>
      <c r="H960" s="97" t="s">
        <v>424</v>
      </c>
      <c r="I960" s="285"/>
    </row>
    <row r="961" spans="1:9" ht="28.5">
      <c r="A961" s="100" t="s">
        <v>425</v>
      </c>
      <c r="B961" s="100" t="s">
        <v>526</v>
      </c>
      <c r="C961" s="100" t="s">
        <v>431</v>
      </c>
      <c r="D961" s="101" t="s">
        <v>47</v>
      </c>
      <c r="E961" s="100" t="s">
        <v>468</v>
      </c>
      <c r="F961" s="102">
        <v>1</v>
      </c>
      <c r="G961" s="103">
        <v>27.29</v>
      </c>
      <c r="H961" s="103">
        <v>27.29</v>
      </c>
      <c r="I961" s="285">
        <f>SUM(I962:I965)</f>
        <v>27.305459999999997</v>
      </c>
    </row>
    <row r="962" spans="1:9" ht="42.75">
      <c r="A962" s="111" t="s">
        <v>434</v>
      </c>
      <c r="B962" s="111" t="s">
        <v>527</v>
      </c>
      <c r="C962" s="111" t="s">
        <v>431</v>
      </c>
      <c r="D962" s="112" t="s">
        <v>528</v>
      </c>
      <c r="E962" s="111" t="s">
        <v>518</v>
      </c>
      <c r="F962" s="113">
        <v>0.254</v>
      </c>
      <c r="G962" s="114">
        <v>23.25</v>
      </c>
      <c r="H962" s="114">
        <v>5.9</v>
      </c>
      <c r="I962" s="285">
        <f t="shared" ref="I962:I965" si="117">F962*G962</f>
        <v>5.9055</v>
      </c>
    </row>
    <row r="963" spans="1:9" ht="42.75">
      <c r="A963" s="111" t="s">
        <v>434</v>
      </c>
      <c r="B963" s="111" t="s">
        <v>529</v>
      </c>
      <c r="C963" s="111" t="s">
        <v>431</v>
      </c>
      <c r="D963" s="112" t="s">
        <v>530</v>
      </c>
      <c r="E963" s="111" t="s">
        <v>515</v>
      </c>
      <c r="F963" s="113">
        <v>0.27400000000000002</v>
      </c>
      <c r="G963" s="114">
        <v>31.29</v>
      </c>
      <c r="H963" s="114">
        <v>8.57</v>
      </c>
      <c r="I963" s="285">
        <f t="shared" si="117"/>
        <v>8.5734600000000007</v>
      </c>
    </row>
    <row r="964" spans="1:9" ht="28.5">
      <c r="A964" s="111" t="s">
        <v>434</v>
      </c>
      <c r="B964" s="111" t="s">
        <v>531</v>
      </c>
      <c r="C964" s="111" t="s">
        <v>431</v>
      </c>
      <c r="D964" s="112" t="s">
        <v>532</v>
      </c>
      <c r="E964" s="111" t="s">
        <v>468</v>
      </c>
      <c r="F964" s="113">
        <v>1</v>
      </c>
      <c r="G964" s="114">
        <v>1.9</v>
      </c>
      <c r="H964" s="114">
        <v>1.9</v>
      </c>
      <c r="I964" s="285">
        <f t="shared" si="117"/>
        <v>1.9</v>
      </c>
    </row>
    <row r="965" spans="1:9" ht="28.5">
      <c r="A965" s="111" t="s">
        <v>434</v>
      </c>
      <c r="B965" s="111" t="s">
        <v>519</v>
      </c>
      <c r="C965" s="111" t="s">
        <v>431</v>
      </c>
      <c r="D965" s="112" t="s">
        <v>492</v>
      </c>
      <c r="E965" s="111" t="s">
        <v>520</v>
      </c>
      <c r="F965" s="113">
        <v>0.65</v>
      </c>
      <c r="G965" s="114">
        <v>16.809999999999999</v>
      </c>
      <c r="H965" s="114">
        <v>10.92</v>
      </c>
      <c r="I965" s="285">
        <f t="shared" si="117"/>
        <v>10.926499999999999</v>
      </c>
    </row>
    <row r="966" spans="1:9">
      <c r="A966" s="104"/>
      <c r="B966" s="104"/>
      <c r="C966" s="104"/>
      <c r="D966" s="104"/>
      <c r="E966" s="104"/>
      <c r="F966" s="105"/>
      <c r="G966" s="106"/>
      <c r="H966" s="107"/>
      <c r="I966" s="285"/>
    </row>
    <row r="967" spans="1:9">
      <c r="A967" s="108"/>
      <c r="B967" s="108"/>
      <c r="C967" s="108"/>
      <c r="D967" s="108"/>
      <c r="E967" s="108"/>
      <c r="F967" s="109"/>
      <c r="G967" s="110"/>
      <c r="H967" s="110"/>
      <c r="I967" s="285"/>
    </row>
    <row r="968" spans="1:9">
      <c r="A968" s="97" t="s">
        <v>1412</v>
      </c>
      <c r="B968" s="97" t="s">
        <v>418</v>
      </c>
      <c r="C968" s="97" t="s">
        <v>419</v>
      </c>
      <c r="D968" s="98" t="s">
        <v>420</v>
      </c>
      <c r="E968" s="97" t="s">
        <v>421</v>
      </c>
      <c r="F968" s="99" t="s">
        <v>422</v>
      </c>
      <c r="G968" s="97" t="s">
        <v>423</v>
      </c>
      <c r="H968" s="97" t="s">
        <v>424</v>
      </c>
      <c r="I968" s="285"/>
    </row>
    <row r="969" spans="1:9" ht="28.5">
      <c r="A969" s="100" t="s">
        <v>425</v>
      </c>
      <c r="B969" s="100" t="s">
        <v>534</v>
      </c>
      <c r="C969" s="100" t="s">
        <v>427</v>
      </c>
      <c r="D969" s="101" t="s">
        <v>341</v>
      </c>
      <c r="E969" s="100" t="s">
        <v>451</v>
      </c>
      <c r="F969" s="102">
        <v>1</v>
      </c>
      <c r="G969" s="119" t="s">
        <v>535</v>
      </c>
      <c r="H969" s="119" t="s">
        <v>535</v>
      </c>
      <c r="I969" s="285">
        <f>SUM(I970:I973)</f>
        <v>4.1310000000000002</v>
      </c>
    </row>
    <row r="970" spans="1:9" ht="28.5">
      <c r="A970" s="111" t="s">
        <v>434</v>
      </c>
      <c r="B970" s="111" t="s">
        <v>536</v>
      </c>
      <c r="C970" s="111" t="s">
        <v>427</v>
      </c>
      <c r="D970" s="112" t="s">
        <v>522</v>
      </c>
      <c r="E970" s="111" t="s">
        <v>464</v>
      </c>
      <c r="F970" s="113">
        <v>2.5999999999999999E-2</v>
      </c>
      <c r="G970" s="121" t="s">
        <v>537</v>
      </c>
      <c r="H970" s="121" t="s">
        <v>538</v>
      </c>
      <c r="I970" s="285">
        <f t="shared" ref="I970:I972" si="118">F970*G970</f>
        <v>0.60060000000000002</v>
      </c>
    </row>
    <row r="971" spans="1:9" ht="28.5">
      <c r="A971" s="111" t="s">
        <v>434</v>
      </c>
      <c r="B971" s="111" t="s">
        <v>491</v>
      </c>
      <c r="C971" s="111" t="s">
        <v>427</v>
      </c>
      <c r="D971" s="112" t="s">
        <v>492</v>
      </c>
      <c r="E971" s="111" t="s">
        <v>464</v>
      </c>
      <c r="F971" s="113">
        <v>0.12</v>
      </c>
      <c r="G971" s="121" t="s">
        <v>493</v>
      </c>
      <c r="H971" s="121" t="s">
        <v>539</v>
      </c>
      <c r="I971" s="285">
        <f t="shared" si="118"/>
        <v>2.0171999999999999</v>
      </c>
    </row>
    <row r="972" spans="1:9" ht="42.75">
      <c r="A972" s="115" t="s">
        <v>437</v>
      </c>
      <c r="B972" s="115" t="s">
        <v>540</v>
      </c>
      <c r="C972" s="115" t="s">
        <v>427</v>
      </c>
      <c r="D972" s="116" t="s">
        <v>541</v>
      </c>
      <c r="E972" s="115" t="s">
        <v>542</v>
      </c>
      <c r="F972" s="117">
        <v>0.12</v>
      </c>
      <c r="G972" s="120" t="s">
        <v>543</v>
      </c>
      <c r="H972" s="120" t="s">
        <v>544</v>
      </c>
      <c r="I972" s="285">
        <f t="shared" si="118"/>
        <v>1.5131999999999999</v>
      </c>
    </row>
    <row r="973" spans="1:9">
      <c r="A973" s="104"/>
      <c r="B973" s="104"/>
      <c r="C973" s="104"/>
      <c r="D973" s="104"/>
      <c r="E973" s="104"/>
      <c r="F973" s="105"/>
      <c r="G973" s="106"/>
      <c r="H973" s="107"/>
      <c r="I973" s="285"/>
    </row>
    <row r="974" spans="1:9">
      <c r="A974" s="108"/>
      <c r="B974" s="108"/>
      <c r="C974" s="108"/>
      <c r="D974" s="108"/>
      <c r="E974" s="108"/>
      <c r="F974" s="109"/>
      <c r="G974" s="110"/>
      <c r="H974" s="110"/>
      <c r="I974" s="285"/>
    </row>
    <row r="975" spans="1:9">
      <c r="A975" s="97" t="s">
        <v>1413</v>
      </c>
      <c r="B975" s="97" t="s">
        <v>418</v>
      </c>
      <c r="C975" s="97" t="s">
        <v>419</v>
      </c>
      <c r="D975" s="98" t="s">
        <v>420</v>
      </c>
      <c r="E975" s="97" t="s">
        <v>421</v>
      </c>
      <c r="F975" s="99" t="s">
        <v>422</v>
      </c>
      <c r="G975" s="97" t="s">
        <v>423</v>
      </c>
      <c r="H975" s="97" t="s">
        <v>424</v>
      </c>
      <c r="I975" s="285"/>
    </row>
    <row r="976" spans="1:9" ht="42.75">
      <c r="A976" s="100" t="s">
        <v>425</v>
      </c>
      <c r="B976" s="100" t="s">
        <v>546</v>
      </c>
      <c r="C976" s="100" t="s">
        <v>431</v>
      </c>
      <c r="D976" s="101" t="s">
        <v>52</v>
      </c>
      <c r="E976" s="100" t="s">
        <v>468</v>
      </c>
      <c r="F976" s="102">
        <v>1</v>
      </c>
      <c r="G976" s="103">
        <v>512.79999999999995</v>
      </c>
      <c r="H976" s="103">
        <v>512.79999999999995</v>
      </c>
      <c r="I976" s="285">
        <f>SUM(I977:I981)</f>
        <v>512.81687999999997</v>
      </c>
    </row>
    <row r="977" spans="1:18" ht="42.75">
      <c r="A977" s="111" t="s">
        <v>434</v>
      </c>
      <c r="B977" s="111" t="s">
        <v>548</v>
      </c>
      <c r="C977" s="111" t="s">
        <v>431</v>
      </c>
      <c r="D977" s="112" t="s">
        <v>549</v>
      </c>
      <c r="E977" s="111" t="s">
        <v>515</v>
      </c>
      <c r="F977" s="113">
        <v>8.7999999999999995E-2</v>
      </c>
      <c r="G977" s="114">
        <v>1.29</v>
      </c>
      <c r="H977" s="114">
        <v>0.11</v>
      </c>
      <c r="I977" s="285">
        <f t="shared" ref="I977:I981" si="119">F977*G977</f>
        <v>0.11352</v>
      </c>
    </row>
    <row r="978" spans="1:18" ht="42.75">
      <c r="A978" s="111" t="s">
        <v>434</v>
      </c>
      <c r="B978" s="111" t="s">
        <v>552</v>
      </c>
      <c r="C978" s="111" t="s">
        <v>431</v>
      </c>
      <c r="D978" s="112" t="s">
        <v>553</v>
      </c>
      <c r="E978" s="111" t="s">
        <v>518</v>
      </c>
      <c r="F978" s="113">
        <v>9.2999999999999999E-2</v>
      </c>
      <c r="G978" s="114">
        <v>0.44</v>
      </c>
      <c r="H978" s="114">
        <v>0.04</v>
      </c>
      <c r="I978" s="285">
        <f t="shared" si="119"/>
        <v>4.0919999999999998E-2</v>
      </c>
    </row>
    <row r="979" spans="1:18" ht="28.5">
      <c r="A979" s="111" t="s">
        <v>434</v>
      </c>
      <c r="B979" s="111" t="s">
        <v>519</v>
      </c>
      <c r="C979" s="111" t="s">
        <v>431</v>
      </c>
      <c r="D979" s="112" t="s">
        <v>492</v>
      </c>
      <c r="E979" s="111" t="s">
        <v>520</v>
      </c>
      <c r="F979" s="113">
        <v>0.54400000000000004</v>
      </c>
      <c r="G979" s="114">
        <v>16.809999999999999</v>
      </c>
      <c r="H979" s="114">
        <v>9.14</v>
      </c>
      <c r="I979" s="285">
        <f t="shared" si="119"/>
        <v>9.1446400000000008</v>
      </c>
    </row>
    <row r="980" spans="1:18" ht="28.5">
      <c r="A980" s="111" t="s">
        <v>434</v>
      </c>
      <c r="B980" s="111" t="s">
        <v>521</v>
      </c>
      <c r="C980" s="111" t="s">
        <v>431</v>
      </c>
      <c r="D980" s="112" t="s">
        <v>522</v>
      </c>
      <c r="E980" s="111" t="s">
        <v>520</v>
      </c>
      <c r="F980" s="113">
        <v>0.36299999999999999</v>
      </c>
      <c r="G980" s="114">
        <v>23.1</v>
      </c>
      <c r="H980" s="114">
        <v>8.3800000000000008</v>
      </c>
      <c r="I980" s="285">
        <f t="shared" si="119"/>
        <v>8.3853000000000009</v>
      </c>
    </row>
    <row r="981" spans="1:18" ht="42.75">
      <c r="A981" s="115" t="s">
        <v>437</v>
      </c>
      <c r="B981" s="115" t="s">
        <v>557</v>
      </c>
      <c r="C981" s="115" t="s">
        <v>431</v>
      </c>
      <c r="D981" s="116" t="s">
        <v>558</v>
      </c>
      <c r="E981" s="115" t="s">
        <v>468</v>
      </c>
      <c r="F981" s="117">
        <v>1.1499999999999999</v>
      </c>
      <c r="G981" s="118">
        <v>430.55</v>
      </c>
      <c r="H981" s="118">
        <v>495.13</v>
      </c>
      <c r="I981" s="285">
        <f t="shared" si="119"/>
        <v>495.13249999999999</v>
      </c>
    </row>
    <row r="982" spans="1:18">
      <c r="A982" s="104"/>
      <c r="B982" s="104"/>
      <c r="C982" s="104"/>
      <c r="D982" s="104"/>
      <c r="E982" s="104"/>
      <c r="F982" s="105"/>
      <c r="G982" s="106"/>
      <c r="H982" s="107"/>
      <c r="I982" s="285"/>
    </row>
    <row r="983" spans="1:18">
      <c r="A983" s="108"/>
      <c r="B983" s="108"/>
      <c r="C983" s="108"/>
      <c r="D983" s="108"/>
      <c r="E983" s="108"/>
      <c r="F983" s="109"/>
      <c r="G983" s="110"/>
      <c r="H983" s="110"/>
      <c r="I983" s="285"/>
    </row>
    <row r="984" spans="1:18">
      <c r="A984" s="97" t="s">
        <v>1414</v>
      </c>
      <c r="B984" s="97" t="s">
        <v>418</v>
      </c>
      <c r="C984" s="97" t="s">
        <v>419</v>
      </c>
      <c r="D984" s="98" t="s">
        <v>420</v>
      </c>
      <c r="E984" s="97" t="s">
        <v>421</v>
      </c>
      <c r="F984" s="99" t="s">
        <v>422</v>
      </c>
      <c r="G984" s="97" t="s">
        <v>423</v>
      </c>
      <c r="H984" s="97" t="s">
        <v>424</v>
      </c>
      <c r="I984" s="285"/>
    </row>
    <row r="985" spans="1:18" ht="28.5">
      <c r="A985" s="100" t="s">
        <v>425</v>
      </c>
      <c r="B985" s="100" t="s">
        <v>562</v>
      </c>
      <c r="C985" s="100" t="s">
        <v>427</v>
      </c>
      <c r="D985" s="101" t="s">
        <v>344</v>
      </c>
      <c r="E985" s="100" t="s">
        <v>451</v>
      </c>
      <c r="F985" s="102">
        <v>1</v>
      </c>
      <c r="G985" s="119">
        <v>52.57</v>
      </c>
      <c r="H985" s="119">
        <v>52.57</v>
      </c>
      <c r="I985" s="285">
        <f>SUM(I986:I988)</f>
        <v>52.583840000000009</v>
      </c>
      <c r="J985" s="100" t="s">
        <v>425</v>
      </c>
      <c r="K985" s="100" t="s">
        <v>562</v>
      </c>
      <c r="L985" s="100" t="s">
        <v>427</v>
      </c>
      <c r="M985" s="101" t="s">
        <v>344</v>
      </c>
      <c r="N985" s="100" t="s">
        <v>451</v>
      </c>
      <c r="O985" s="102">
        <v>1</v>
      </c>
      <c r="P985" s="119" t="s">
        <v>563</v>
      </c>
      <c r="Q985" s="119" t="s">
        <v>563</v>
      </c>
      <c r="R985" s="285">
        <f>SUM(R986:R988)</f>
        <v>58.127520000000004</v>
      </c>
    </row>
    <row r="986" spans="1:18" ht="42.75">
      <c r="A986" s="287" t="s">
        <v>437</v>
      </c>
      <c r="B986" s="287" t="s">
        <v>568</v>
      </c>
      <c r="C986" s="287" t="s">
        <v>427</v>
      </c>
      <c r="D986" s="288" t="s">
        <v>569</v>
      </c>
      <c r="E986" s="287" t="s">
        <v>451</v>
      </c>
      <c r="F986" s="289">
        <v>0.128</v>
      </c>
      <c r="G986" s="291">
        <v>65.180000000000007</v>
      </c>
      <c r="H986" s="120">
        <v>8.34</v>
      </c>
      <c r="I986" s="285">
        <f t="shared" ref="I986:I988" si="120">F986*G986</f>
        <v>8.3430400000000002</v>
      </c>
      <c r="J986" s="271" t="s">
        <v>437</v>
      </c>
      <c r="K986" s="271" t="s">
        <v>564</v>
      </c>
      <c r="L986" s="271" t="s">
        <v>427</v>
      </c>
      <c r="M986" s="272" t="s">
        <v>565</v>
      </c>
      <c r="N986" s="271" t="s">
        <v>451</v>
      </c>
      <c r="O986" s="273">
        <v>0.53600000000000003</v>
      </c>
      <c r="P986" s="270" t="s">
        <v>566</v>
      </c>
      <c r="Q986" s="120" t="s">
        <v>567</v>
      </c>
      <c r="R986" s="285">
        <f t="shared" ref="R986:R988" si="121">O986*P986</f>
        <v>34.936480000000003</v>
      </c>
    </row>
    <row r="987" spans="1:18" ht="42.75">
      <c r="A987" s="287" t="s">
        <v>437</v>
      </c>
      <c r="B987" s="287" t="s">
        <v>572</v>
      </c>
      <c r="C987" s="287" t="s">
        <v>427</v>
      </c>
      <c r="D987" s="288" t="s">
        <v>573</v>
      </c>
      <c r="E987" s="287" t="s">
        <v>451</v>
      </c>
      <c r="F987" s="289">
        <v>0.33600000000000002</v>
      </c>
      <c r="G987" s="291">
        <v>54.97</v>
      </c>
      <c r="H987" s="120">
        <v>18.46</v>
      </c>
      <c r="I987" s="285">
        <f t="shared" si="120"/>
        <v>18.469920000000002</v>
      </c>
      <c r="J987" s="271" t="s">
        <v>437</v>
      </c>
      <c r="K987" s="271" t="s">
        <v>568</v>
      </c>
      <c r="L987" s="271" t="s">
        <v>427</v>
      </c>
      <c r="M987" s="272" t="s">
        <v>569</v>
      </c>
      <c r="N987" s="271" t="s">
        <v>451</v>
      </c>
      <c r="O987" s="273">
        <v>0.128</v>
      </c>
      <c r="P987" s="270" t="s">
        <v>570</v>
      </c>
      <c r="Q987" s="120" t="s">
        <v>571</v>
      </c>
      <c r="R987" s="285">
        <f t="shared" si="121"/>
        <v>7.0361599999999997</v>
      </c>
    </row>
    <row r="988" spans="1:18" ht="42.75">
      <c r="A988" s="287" t="s">
        <v>437</v>
      </c>
      <c r="B988" s="287" t="s">
        <v>564</v>
      </c>
      <c r="C988" s="287" t="s">
        <v>427</v>
      </c>
      <c r="D988" s="288" t="s">
        <v>565</v>
      </c>
      <c r="E988" s="287" t="s">
        <v>451</v>
      </c>
      <c r="F988" s="289">
        <v>0.53600000000000003</v>
      </c>
      <c r="G988" s="291">
        <v>48.08</v>
      </c>
      <c r="H988" s="120">
        <v>25.77</v>
      </c>
      <c r="I988" s="285">
        <f t="shared" si="120"/>
        <v>25.770880000000002</v>
      </c>
      <c r="J988" s="271" t="s">
        <v>437</v>
      </c>
      <c r="K988" s="271" t="s">
        <v>572</v>
      </c>
      <c r="L988" s="271" t="s">
        <v>427</v>
      </c>
      <c r="M988" s="272" t="s">
        <v>573</v>
      </c>
      <c r="N988" s="271" t="s">
        <v>451</v>
      </c>
      <c r="O988" s="273">
        <v>0.33600000000000002</v>
      </c>
      <c r="P988" s="270" t="s">
        <v>574</v>
      </c>
      <c r="Q988" s="120" t="s">
        <v>575</v>
      </c>
      <c r="R988" s="285">
        <f t="shared" si="121"/>
        <v>16.154880000000002</v>
      </c>
    </row>
    <row r="989" spans="1:18">
      <c r="A989" s="104"/>
      <c r="B989" s="104"/>
      <c r="C989" s="104"/>
      <c r="D989" s="104"/>
      <c r="E989" s="104"/>
      <c r="F989" s="105"/>
      <c r="G989" s="106"/>
      <c r="H989" s="107"/>
      <c r="I989" s="285"/>
    </row>
    <row r="990" spans="1:18">
      <c r="A990" s="108"/>
      <c r="B990" s="108"/>
      <c r="C990" s="108"/>
      <c r="D990" s="108"/>
      <c r="E990" s="108"/>
      <c r="F990" s="109"/>
      <c r="G990" s="110"/>
      <c r="H990" s="110"/>
      <c r="I990" s="285"/>
    </row>
    <row r="991" spans="1:18">
      <c r="A991" s="97" t="s">
        <v>1415</v>
      </c>
      <c r="B991" s="97" t="s">
        <v>418</v>
      </c>
      <c r="C991" s="97" t="s">
        <v>419</v>
      </c>
      <c r="D991" s="98" t="s">
        <v>420</v>
      </c>
      <c r="E991" s="97" t="s">
        <v>421</v>
      </c>
      <c r="F991" s="99" t="s">
        <v>422</v>
      </c>
      <c r="G991" s="97" t="s">
        <v>423</v>
      </c>
      <c r="H991" s="97" t="s">
        <v>424</v>
      </c>
      <c r="I991" s="285"/>
    </row>
    <row r="992" spans="1:18" ht="28.5">
      <c r="A992" s="100" t="s">
        <v>425</v>
      </c>
      <c r="B992" s="100" t="s">
        <v>577</v>
      </c>
      <c r="C992" s="100" t="s">
        <v>431</v>
      </c>
      <c r="D992" s="101" t="s">
        <v>57</v>
      </c>
      <c r="E992" s="100" t="s">
        <v>451</v>
      </c>
      <c r="F992" s="102">
        <v>1</v>
      </c>
      <c r="G992" s="103">
        <v>36.22</v>
      </c>
      <c r="H992" s="103">
        <v>36.22</v>
      </c>
      <c r="I992" s="285">
        <f>SUM(I993:I995)</f>
        <v>36.237400000000001</v>
      </c>
    </row>
    <row r="993" spans="1:9" ht="28.5">
      <c r="A993" s="111" t="s">
        <v>434</v>
      </c>
      <c r="B993" s="111" t="s">
        <v>578</v>
      </c>
      <c r="C993" s="111" t="s">
        <v>431</v>
      </c>
      <c r="D993" s="112" t="s">
        <v>579</v>
      </c>
      <c r="E993" s="111" t="s">
        <v>520</v>
      </c>
      <c r="F993" s="113">
        <v>8.5000000000000006E-2</v>
      </c>
      <c r="G993" s="114">
        <v>18.52</v>
      </c>
      <c r="H993" s="114">
        <v>1.57</v>
      </c>
      <c r="I993" s="285">
        <f t="shared" ref="I993:I995" si="122">F993*G993</f>
        <v>1.5742</v>
      </c>
    </row>
    <row r="994" spans="1:9" ht="28.5">
      <c r="A994" s="111" t="s">
        <v>434</v>
      </c>
      <c r="B994" s="111" t="s">
        <v>580</v>
      </c>
      <c r="C994" s="111" t="s">
        <v>431</v>
      </c>
      <c r="D994" s="112" t="s">
        <v>581</v>
      </c>
      <c r="E994" s="111" t="s">
        <v>520</v>
      </c>
      <c r="F994" s="113">
        <v>0.42199999999999999</v>
      </c>
      <c r="G994" s="114">
        <v>23.1</v>
      </c>
      <c r="H994" s="114">
        <v>9.74</v>
      </c>
      <c r="I994" s="285">
        <f t="shared" si="122"/>
        <v>9.7482000000000006</v>
      </c>
    </row>
    <row r="995" spans="1:9" ht="57">
      <c r="A995" s="115" t="s">
        <v>437</v>
      </c>
      <c r="B995" s="115" t="s">
        <v>582</v>
      </c>
      <c r="C995" s="115" t="s">
        <v>431</v>
      </c>
      <c r="D995" s="116" t="s">
        <v>583</v>
      </c>
      <c r="E995" s="115" t="s">
        <v>60</v>
      </c>
      <c r="F995" s="117">
        <v>1.5</v>
      </c>
      <c r="G995" s="118">
        <v>16.61</v>
      </c>
      <c r="H995" s="118">
        <v>24.91</v>
      </c>
      <c r="I995" s="285">
        <f t="shared" si="122"/>
        <v>24.914999999999999</v>
      </c>
    </row>
    <row r="996" spans="1:9">
      <c r="A996" s="104"/>
      <c r="B996" s="104"/>
      <c r="C996" s="104"/>
      <c r="D996" s="104"/>
      <c r="E996" s="104"/>
      <c r="F996" s="105"/>
      <c r="G996" s="106"/>
      <c r="H996" s="107"/>
      <c r="I996" s="285"/>
    </row>
    <row r="997" spans="1:9">
      <c r="A997" s="108"/>
      <c r="B997" s="108"/>
      <c r="C997" s="108"/>
      <c r="D997" s="108"/>
      <c r="E997" s="108"/>
      <c r="F997" s="109"/>
      <c r="G997" s="110"/>
      <c r="H997" s="110"/>
      <c r="I997" s="285"/>
    </row>
    <row r="998" spans="1:9">
      <c r="A998" s="97" t="s">
        <v>1416</v>
      </c>
      <c r="B998" s="97" t="s">
        <v>418</v>
      </c>
      <c r="C998" s="97" t="s">
        <v>419</v>
      </c>
      <c r="D998" s="98" t="s">
        <v>420</v>
      </c>
      <c r="E998" s="97" t="s">
        <v>421</v>
      </c>
      <c r="F998" s="99" t="s">
        <v>422</v>
      </c>
      <c r="G998" s="97" t="s">
        <v>423</v>
      </c>
      <c r="H998" s="97" t="s">
        <v>424</v>
      </c>
      <c r="I998" s="285"/>
    </row>
    <row r="999" spans="1:9" ht="28.5">
      <c r="A999" s="100" t="s">
        <v>425</v>
      </c>
      <c r="B999" s="100" t="s">
        <v>585</v>
      </c>
      <c r="C999" s="100" t="s">
        <v>431</v>
      </c>
      <c r="D999" s="101" t="s">
        <v>586</v>
      </c>
      <c r="E999" s="100" t="s">
        <v>60</v>
      </c>
      <c r="F999" s="102">
        <v>1</v>
      </c>
      <c r="G999" s="103">
        <v>17.920000000000002</v>
      </c>
      <c r="H999" s="103">
        <v>17.920000000000002</v>
      </c>
      <c r="I999" s="285">
        <f>SUM(I1000:I1004)</f>
        <v>17.935165000000001</v>
      </c>
    </row>
    <row r="1000" spans="1:9" ht="42.75">
      <c r="A1000" s="111" t="s">
        <v>434</v>
      </c>
      <c r="B1000" s="111" t="s">
        <v>587</v>
      </c>
      <c r="C1000" s="111" t="s">
        <v>431</v>
      </c>
      <c r="D1000" s="112" t="s">
        <v>588</v>
      </c>
      <c r="E1000" s="111" t="s">
        <v>60</v>
      </c>
      <c r="F1000" s="113">
        <v>1</v>
      </c>
      <c r="G1000" s="114">
        <v>11.34</v>
      </c>
      <c r="H1000" s="114">
        <v>11.34</v>
      </c>
      <c r="I1000" s="285">
        <f t="shared" ref="I1000:I1004" si="123">F1000*G1000</f>
        <v>11.34</v>
      </c>
    </row>
    <row r="1001" spans="1:9" ht="28.5">
      <c r="A1001" s="111" t="s">
        <v>434</v>
      </c>
      <c r="B1001" s="111" t="s">
        <v>589</v>
      </c>
      <c r="C1001" s="111" t="s">
        <v>431</v>
      </c>
      <c r="D1001" s="112" t="s">
        <v>590</v>
      </c>
      <c r="E1001" s="111" t="s">
        <v>520</v>
      </c>
      <c r="F1001" s="113">
        <v>6.3500000000000001E-2</v>
      </c>
      <c r="G1001" s="114">
        <v>17.059999999999999</v>
      </c>
      <c r="H1001" s="114">
        <v>1.08</v>
      </c>
      <c r="I1001" s="285">
        <f t="shared" si="123"/>
        <v>1.08331</v>
      </c>
    </row>
    <row r="1002" spans="1:9" ht="28.5">
      <c r="A1002" s="111" t="s">
        <v>434</v>
      </c>
      <c r="B1002" s="111" t="s">
        <v>591</v>
      </c>
      <c r="C1002" s="111" t="s">
        <v>431</v>
      </c>
      <c r="D1002" s="112" t="s">
        <v>592</v>
      </c>
      <c r="E1002" s="111" t="s">
        <v>520</v>
      </c>
      <c r="F1002" s="113">
        <v>0.19450000000000001</v>
      </c>
      <c r="G1002" s="114">
        <v>22.96</v>
      </c>
      <c r="H1002" s="114">
        <v>4.46</v>
      </c>
      <c r="I1002" s="285">
        <f t="shared" si="123"/>
        <v>4.4657200000000001</v>
      </c>
    </row>
    <row r="1003" spans="1:9" ht="28.5">
      <c r="A1003" s="115" t="s">
        <v>437</v>
      </c>
      <c r="B1003" s="115" t="s">
        <v>593</v>
      </c>
      <c r="C1003" s="115" t="s">
        <v>431</v>
      </c>
      <c r="D1003" s="116" t="s">
        <v>594</v>
      </c>
      <c r="E1003" s="115" t="s">
        <v>60</v>
      </c>
      <c r="F1003" s="117">
        <v>2.5000000000000001E-2</v>
      </c>
      <c r="G1003" s="118">
        <v>26.9</v>
      </c>
      <c r="H1003" s="118">
        <v>0.67</v>
      </c>
      <c r="I1003" s="285">
        <f t="shared" si="123"/>
        <v>0.67249999999999999</v>
      </c>
    </row>
    <row r="1004" spans="1:9" ht="42.75">
      <c r="A1004" s="115" t="s">
        <v>437</v>
      </c>
      <c r="B1004" s="115" t="s">
        <v>595</v>
      </c>
      <c r="C1004" s="115" t="s">
        <v>431</v>
      </c>
      <c r="D1004" s="116" t="s">
        <v>596</v>
      </c>
      <c r="E1004" s="115" t="s">
        <v>8</v>
      </c>
      <c r="F1004" s="117">
        <v>1.9664999999999999</v>
      </c>
      <c r="G1004" s="118">
        <v>0.19</v>
      </c>
      <c r="H1004" s="118">
        <v>0.37</v>
      </c>
      <c r="I1004" s="285">
        <f t="shared" si="123"/>
        <v>0.37363499999999999</v>
      </c>
    </row>
    <row r="1005" spans="1:9">
      <c r="A1005" s="104"/>
      <c r="B1005" s="104"/>
      <c r="C1005" s="104"/>
      <c r="D1005" s="104"/>
      <c r="E1005" s="104"/>
      <c r="F1005" s="105"/>
      <c r="G1005" s="106"/>
      <c r="H1005" s="107"/>
      <c r="I1005" s="285"/>
    </row>
    <row r="1006" spans="1:9">
      <c r="A1006" s="108"/>
      <c r="B1006" s="108"/>
      <c r="C1006" s="108"/>
      <c r="D1006" s="108"/>
      <c r="E1006" s="108"/>
      <c r="F1006" s="109"/>
      <c r="G1006" s="110"/>
      <c r="H1006" s="110"/>
      <c r="I1006" s="285"/>
    </row>
    <row r="1007" spans="1:9">
      <c r="A1007" s="97" t="s">
        <v>1417</v>
      </c>
      <c r="B1007" s="97" t="s">
        <v>418</v>
      </c>
      <c r="C1007" s="97" t="s">
        <v>419</v>
      </c>
      <c r="D1007" s="98" t="s">
        <v>420</v>
      </c>
      <c r="E1007" s="97" t="s">
        <v>421</v>
      </c>
      <c r="F1007" s="99" t="s">
        <v>422</v>
      </c>
      <c r="G1007" s="97" t="s">
        <v>423</v>
      </c>
      <c r="H1007" s="97" t="s">
        <v>424</v>
      </c>
      <c r="I1007" s="285"/>
    </row>
    <row r="1008" spans="1:9" ht="28.5">
      <c r="A1008" s="100" t="s">
        <v>425</v>
      </c>
      <c r="B1008" s="100" t="s">
        <v>598</v>
      </c>
      <c r="C1008" s="100" t="s">
        <v>431</v>
      </c>
      <c r="D1008" s="101" t="s">
        <v>62</v>
      </c>
      <c r="E1008" s="100" t="s">
        <v>60</v>
      </c>
      <c r="F1008" s="102">
        <v>1</v>
      </c>
      <c r="G1008" s="103">
        <v>15.58</v>
      </c>
      <c r="H1008" s="103">
        <v>15.58</v>
      </c>
      <c r="I1008" s="285">
        <f>SUM(I1009:I1013)</f>
        <v>15.60169</v>
      </c>
    </row>
    <row r="1009" spans="1:9" ht="42.75">
      <c r="A1009" s="111" t="s">
        <v>434</v>
      </c>
      <c r="B1009" s="111" t="s">
        <v>599</v>
      </c>
      <c r="C1009" s="111" t="s">
        <v>431</v>
      </c>
      <c r="D1009" s="112" t="s">
        <v>600</v>
      </c>
      <c r="E1009" s="111" t="s">
        <v>60</v>
      </c>
      <c r="F1009" s="113">
        <v>1</v>
      </c>
      <c r="G1009" s="114">
        <v>11.5</v>
      </c>
      <c r="H1009" s="114">
        <v>11.5</v>
      </c>
      <c r="I1009" s="285">
        <f t="shared" ref="I1009:I1013" si="124">F1009*G1009</f>
        <v>11.5</v>
      </c>
    </row>
    <row r="1010" spans="1:9" ht="28.5">
      <c r="A1010" s="111" t="s">
        <v>434</v>
      </c>
      <c r="B1010" s="111" t="s">
        <v>589</v>
      </c>
      <c r="C1010" s="111" t="s">
        <v>431</v>
      </c>
      <c r="D1010" s="112" t="s">
        <v>590</v>
      </c>
      <c r="E1010" s="111" t="s">
        <v>520</v>
      </c>
      <c r="F1010" s="113">
        <v>3.7499999999999999E-2</v>
      </c>
      <c r="G1010" s="114">
        <v>17.059999999999999</v>
      </c>
      <c r="H1010" s="114">
        <v>0.63</v>
      </c>
      <c r="I1010" s="285">
        <f t="shared" si="124"/>
        <v>0.63974999999999993</v>
      </c>
    </row>
    <row r="1011" spans="1:9" ht="28.5">
      <c r="A1011" s="111" t="s">
        <v>434</v>
      </c>
      <c r="B1011" s="111" t="s">
        <v>591</v>
      </c>
      <c r="C1011" s="111" t="s">
        <v>431</v>
      </c>
      <c r="D1011" s="112" t="s">
        <v>592</v>
      </c>
      <c r="E1011" s="111" t="s">
        <v>520</v>
      </c>
      <c r="F1011" s="113">
        <v>0.11550000000000001</v>
      </c>
      <c r="G1011" s="114">
        <v>22.96</v>
      </c>
      <c r="H1011" s="114">
        <v>2.65</v>
      </c>
      <c r="I1011" s="285">
        <f t="shared" si="124"/>
        <v>2.6518800000000002</v>
      </c>
    </row>
    <row r="1012" spans="1:9" ht="28.5">
      <c r="A1012" s="115" t="s">
        <v>437</v>
      </c>
      <c r="B1012" s="115" t="s">
        <v>593</v>
      </c>
      <c r="C1012" s="115" t="s">
        <v>431</v>
      </c>
      <c r="D1012" s="116" t="s">
        <v>594</v>
      </c>
      <c r="E1012" s="115" t="s">
        <v>60</v>
      </c>
      <c r="F1012" s="117">
        <v>2.5000000000000001E-2</v>
      </c>
      <c r="G1012" s="118">
        <v>26.9</v>
      </c>
      <c r="H1012" s="118">
        <v>0.67</v>
      </c>
      <c r="I1012" s="285">
        <f t="shared" si="124"/>
        <v>0.67249999999999999</v>
      </c>
    </row>
    <row r="1013" spans="1:9" ht="42.75">
      <c r="A1013" s="115" t="s">
        <v>437</v>
      </c>
      <c r="B1013" s="115" t="s">
        <v>595</v>
      </c>
      <c r="C1013" s="115" t="s">
        <v>431</v>
      </c>
      <c r="D1013" s="116" t="s">
        <v>596</v>
      </c>
      <c r="E1013" s="115" t="s">
        <v>8</v>
      </c>
      <c r="F1013" s="117">
        <v>0.72399999999999998</v>
      </c>
      <c r="G1013" s="118">
        <v>0.19</v>
      </c>
      <c r="H1013" s="118">
        <v>0.13</v>
      </c>
      <c r="I1013" s="285">
        <f t="shared" si="124"/>
        <v>0.13755999999999999</v>
      </c>
    </row>
    <row r="1014" spans="1:9">
      <c r="A1014" s="104"/>
      <c r="B1014" s="104"/>
      <c r="C1014" s="104"/>
      <c r="D1014" s="104"/>
      <c r="E1014" s="104"/>
      <c r="F1014" s="105"/>
      <c r="G1014" s="106"/>
      <c r="H1014" s="107"/>
      <c r="I1014" s="285"/>
    </row>
    <row r="1015" spans="1:9">
      <c r="A1015" s="108"/>
      <c r="B1015" s="108"/>
      <c r="C1015" s="108"/>
      <c r="D1015" s="108"/>
      <c r="E1015" s="108"/>
      <c r="F1015" s="109"/>
      <c r="G1015" s="110"/>
      <c r="H1015" s="110"/>
      <c r="I1015" s="285"/>
    </row>
    <row r="1016" spans="1:9">
      <c r="A1016" s="97" t="s">
        <v>1418</v>
      </c>
      <c r="B1016" s="97" t="s">
        <v>418</v>
      </c>
      <c r="C1016" s="97" t="s">
        <v>419</v>
      </c>
      <c r="D1016" s="98" t="s">
        <v>420</v>
      </c>
      <c r="E1016" s="97" t="s">
        <v>421</v>
      </c>
      <c r="F1016" s="99" t="s">
        <v>422</v>
      </c>
      <c r="G1016" s="97" t="s">
        <v>423</v>
      </c>
      <c r="H1016" s="97" t="s">
        <v>424</v>
      </c>
      <c r="I1016" s="285"/>
    </row>
    <row r="1017" spans="1:9" ht="28.5">
      <c r="A1017" s="100" t="s">
        <v>425</v>
      </c>
      <c r="B1017" s="100" t="s">
        <v>1419</v>
      </c>
      <c r="C1017" s="100" t="s">
        <v>431</v>
      </c>
      <c r="D1017" s="101" t="s">
        <v>349</v>
      </c>
      <c r="E1017" s="100" t="s">
        <v>31</v>
      </c>
      <c r="F1017" s="102">
        <v>1</v>
      </c>
      <c r="G1017" s="103">
        <v>33.61</v>
      </c>
      <c r="H1017" s="103">
        <v>33.61</v>
      </c>
      <c r="I1017" s="285">
        <f>SUM(I1018:I1023)</f>
        <v>33.647378000000003</v>
      </c>
    </row>
    <row r="1018" spans="1:9" ht="42.75">
      <c r="A1018" s="111" t="s">
        <v>434</v>
      </c>
      <c r="B1018" s="111" t="s">
        <v>599</v>
      </c>
      <c r="C1018" s="111" t="s">
        <v>431</v>
      </c>
      <c r="D1018" s="112" t="s">
        <v>600</v>
      </c>
      <c r="E1018" s="111" t="s">
        <v>60</v>
      </c>
      <c r="F1018" s="113">
        <v>0.79</v>
      </c>
      <c r="G1018" s="114">
        <v>11.5</v>
      </c>
      <c r="H1018" s="114">
        <v>9.08</v>
      </c>
      <c r="I1018" s="285">
        <f t="shared" ref="I1018:I1023" si="125">F1018*G1018</f>
        <v>9.0850000000000009</v>
      </c>
    </row>
    <row r="1019" spans="1:9" ht="42.75">
      <c r="A1019" s="111" t="s">
        <v>434</v>
      </c>
      <c r="B1019" s="111" t="s">
        <v>1420</v>
      </c>
      <c r="C1019" s="111" t="s">
        <v>431</v>
      </c>
      <c r="D1019" s="112" t="s">
        <v>1421</v>
      </c>
      <c r="E1019" s="111" t="s">
        <v>468</v>
      </c>
      <c r="F1019" s="113">
        <v>1.14E-2</v>
      </c>
      <c r="G1019" s="114">
        <v>481.27</v>
      </c>
      <c r="H1019" s="114">
        <v>5.48</v>
      </c>
      <c r="I1019" s="285">
        <f t="shared" si="125"/>
        <v>5.486478</v>
      </c>
    </row>
    <row r="1020" spans="1:9" ht="57">
      <c r="A1020" s="111" t="s">
        <v>434</v>
      </c>
      <c r="B1020" s="111" t="s">
        <v>1422</v>
      </c>
      <c r="C1020" s="111" t="s">
        <v>431</v>
      </c>
      <c r="D1020" s="112" t="s">
        <v>1423</v>
      </c>
      <c r="E1020" s="111" t="s">
        <v>468</v>
      </c>
      <c r="F1020" s="113">
        <v>1.4E-3</v>
      </c>
      <c r="G1020" s="114">
        <v>424.1</v>
      </c>
      <c r="H1020" s="114">
        <v>0.59</v>
      </c>
      <c r="I1020" s="285">
        <f t="shared" si="125"/>
        <v>0.59374000000000005</v>
      </c>
    </row>
    <row r="1021" spans="1:9" ht="28.5">
      <c r="A1021" s="111" t="s">
        <v>434</v>
      </c>
      <c r="B1021" s="111" t="s">
        <v>519</v>
      </c>
      <c r="C1021" s="111" t="s">
        <v>431</v>
      </c>
      <c r="D1021" s="112" t="s">
        <v>492</v>
      </c>
      <c r="E1021" s="111" t="s">
        <v>520</v>
      </c>
      <c r="F1021" s="113">
        <v>0.126</v>
      </c>
      <c r="G1021" s="114">
        <v>16.809999999999999</v>
      </c>
      <c r="H1021" s="114">
        <v>2.11</v>
      </c>
      <c r="I1021" s="285">
        <f t="shared" si="125"/>
        <v>2.1180599999999998</v>
      </c>
    </row>
    <row r="1022" spans="1:9" ht="28.5">
      <c r="A1022" s="111" t="s">
        <v>434</v>
      </c>
      <c r="B1022" s="111" t="s">
        <v>521</v>
      </c>
      <c r="C1022" s="111" t="s">
        <v>431</v>
      </c>
      <c r="D1022" s="112" t="s">
        <v>522</v>
      </c>
      <c r="E1022" s="111" t="s">
        <v>520</v>
      </c>
      <c r="F1022" s="113">
        <v>0.253</v>
      </c>
      <c r="G1022" s="114">
        <v>23.1</v>
      </c>
      <c r="H1022" s="114">
        <v>5.84</v>
      </c>
      <c r="I1022" s="285">
        <f t="shared" si="125"/>
        <v>5.8443000000000005</v>
      </c>
    </row>
    <row r="1023" spans="1:9" ht="28.5">
      <c r="A1023" s="115" t="s">
        <v>437</v>
      </c>
      <c r="B1023" s="115" t="s">
        <v>1424</v>
      </c>
      <c r="C1023" s="115" t="s">
        <v>431</v>
      </c>
      <c r="D1023" s="116" t="s">
        <v>1425</v>
      </c>
      <c r="E1023" s="115" t="s">
        <v>8</v>
      </c>
      <c r="F1023" s="117">
        <v>5.34</v>
      </c>
      <c r="G1023" s="118">
        <v>1.97</v>
      </c>
      <c r="H1023" s="118">
        <v>10.51</v>
      </c>
      <c r="I1023" s="285">
        <f t="shared" si="125"/>
        <v>10.5198</v>
      </c>
    </row>
    <row r="1024" spans="1:9">
      <c r="A1024" s="104"/>
      <c r="B1024" s="104"/>
      <c r="C1024" s="104"/>
      <c r="D1024" s="104"/>
      <c r="E1024" s="104"/>
      <c r="F1024" s="105"/>
      <c r="G1024" s="106"/>
      <c r="H1024" s="107"/>
      <c r="I1024" s="285"/>
    </row>
    <row r="1025" spans="1:9">
      <c r="A1025" s="108"/>
      <c r="B1025" s="108"/>
      <c r="C1025" s="108"/>
      <c r="D1025" s="108"/>
      <c r="E1025" s="108"/>
      <c r="F1025" s="109"/>
      <c r="G1025" s="110"/>
      <c r="H1025" s="110"/>
      <c r="I1025" s="285"/>
    </row>
    <row r="1026" spans="1:9">
      <c r="A1026" s="97" t="s">
        <v>1426</v>
      </c>
      <c r="B1026" s="97" t="s">
        <v>418</v>
      </c>
      <c r="C1026" s="97" t="s">
        <v>419</v>
      </c>
      <c r="D1026" s="98" t="s">
        <v>420</v>
      </c>
      <c r="E1026" s="97" t="s">
        <v>421</v>
      </c>
      <c r="F1026" s="99" t="s">
        <v>422</v>
      </c>
      <c r="G1026" s="97" t="s">
        <v>423</v>
      </c>
      <c r="H1026" s="97" t="s">
        <v>424</v>
      </c>
      <c r="I1026" s="285"/>
    </row>
    <row r="1027" spans="1:9" ht="28.5">
      <c r="A1027" s="100" t="s">
        <v>425</v>
      </c>
      <c r="B1027" s="100" t="s">
        <v>1427</v>
      </c>
      <c r="C1027" s="100" t="s">
        <v>431</v>
      </c>
      <c r="D1027" s="101" t="s">
        <v>351</v>
      </c>
      <c r="E1027" s="100" t="s">
        <v>60</v>
      </c>
      <c r="F1027" s="102">
        <v>1</v>
      </c>
      <c r="G1027" s="103">
        <v>10.96</v>
      </c>
      <c r="H1027" s="103">
        <v>10.96</v>
      </c>
      <c r="I1027" s="285">
        <f>SUM(I1028:I1030)</f>
        <v>10.964898</v>
      </c>
    </row>
    <row r="1028" spans="1:9" ht="28.5">
      <c r="A1028" s="111" t="s">
        <v>434</v>
      </c>
      <c r="B1028" s="111" t="s">
        <v>589</v>
      </c>
      <c r="C1028" s="111" t="s">
        <v>431</v>
      </c>
      <c r="D1028" s="112" t="s">
        <v>590</v>
      </c>
      <c r="E1028" s="111" t="s">
        <v>520</v>
      </c>
      <c r="F1028" s="113">
        <v>3.2500000000000001E-2</v>
      </c>
      <c r="G1028" s="114">
        <v>17.059999999999999</v>
      </c>
      <c r="H1028" s="114">
        <v>0.55000000000000004</v>
      </c>
      <c r="I1028" s="285">
        <f t="shared" ref="I1028:I1030" si="126">F1028*G1028</f>
        <v>0.55445</v>
      </c>
    </row>
    <row r="1029" spans="1:9" ht="28.5">
      <c r="A1029" s="111" t="s">
        <v>434</v>
      </c>
      <c r="B1029" s="111" t="s">
        <v>591</v>
      </c>
      <c r="C1029" s="111" t="s">
        <v>431</v>
      </c>
      <c r="D1029" s="112" t="s">
        <v>592</v>
      </c>
      <c r="E1029" s="111" t="s">
        <v>520</v>
      </c>
      <c r="F1029" s="113">
        <v>4.8800000000000003E-2</v>
      </c>
      <c r="G1029" s="114">
        <v>22.96</v>
      </c>
      <c r="H1029" s="114">
        <v>1.1200000000000001</v>
      </c>
      <c r="I1029" s="285">
        <f t="shared" si="126"/>
        <v>1.1204480000000001</v>
      </c>
    </row>
    <row r="1030" spans="1:9">
      <c r="A1030" s="115" t="s">
        <v>437</v>
      </c>
      <c r="B1030" s="115" t="s">
        <v>1428</v>
      </c>
      <c r="C1030" s="115" t="s">
        <v>431</v>
      </c>
      <c r="D1030" s="116" t="s">
        <v>1429</v>
      </c>
      <c r="E1030" s="115" t="s">
        <v>60</v>
      </c>
      <c r="F1030" s="117">
        <v>1</v>
      </c>
      <c r="G1030" s="118">
        <v>9.2899999999999991</v>
      </c>
      <c r="H1030" s="118">
        <v>9.2899999999999991</v>
      </c>
      <c r="I1030" s="285">
        <f t="shared" si="126"/>
        <v>9.2899999999999991</v>
      </c>
    </row>
    <row r="1031" spans="1:9">
      <c r="A1031" s="104"/>
      <c r="B1031" s="104"/>
      <c r="C1031" s="104"/>
      <c r="D1031" s="104"/>
      <c r="E1031" s="104"/>
      <c r="F1031" s="105"/>
      <c r="G1031" s="106"/>
      <c r="H1031" s="107"/>
      <c r="I1031" s="285"/>
    </row>
    <row r="1032" spans="1:9">
      <c r="A1032" s="108"/>
      <c r="B1032" s="108"/>
      <c r="C1032" s="108"/>
      <c r="D1032" s="108"/>
      <c r="E1032" s="108"/>
      <c r="F1032" s="109"/>
      <c r="G1032" s="110"/>
      <c r="H1032" s="110"/>
      <c r="I1032" s="285"/>
    </row>
    <row r="1033" spans="1:9">
      <c r="A1033" s="92" t="s">
        <v>1430</v>
      </c>
      <c r="B1033" s="92"/>
      <c r="C1033" s="92"/>
      <c r="D1033" s="93" t="s">
        <v>64</v>
      </c>
      <c r="E1033" s="94"/>
      <c r="F1033" s="95"/>
      <c r="G1033" s="92"/>
      <c r="H1033" s="96"/>
      <c r="I1033" s="285"/>
    </row>
    <row r="1034" spans="1:9">
      <c r="A1034" s="97" t="s">
        <v>1431</v>
      </c>
      <c r="B1034" s="97" t="s">
        <v>418</v>
      </c>
      <c r="C1034" s="97" t="s">
        <v>419</v>
      </c>
      <c r="D1034" s="98" t="s">
        <v>420</v>
      </c>
      <c r="E1034" s="97" t="s">
        <v>421</v>
      </c>
      <c r="F1034" s="99" t="s">
        <v>422</v>
      </c>
      <c r="G1034" s="97" t="s">
        <v>423</v>
      </c>
      <c r="H1034" s="97" t="s">
        <v>424</v>
      </c>
      <c r="I1034" s="285"/>
    </row>
    <row r="1035" spans="1:9" ht="28.5">
      <c r="A1035" s="100" t="s">
        <v>425</v>
      </c>
      <c r="B1035" s="100" t="s">
        <v>604</v>
      </c>
      <c r="C1035" s="100" t="s">
        <v>427</v>
      </c>
      <c r="D1035" s="101" t="s">
        <v>67</v>
      </c>
      <c r="E1035" s="100" t="s">
        <v>451</v>
      </c>
      <c r="F1035" s="102">
        <v>1</v>
      </c>
      <c r="G1035" s="119" t="s">
        <v>605</v>
      </c>
      <c r="H1035" s="119" t="s">
        <v>605</v>
      </c>
      <c r="I1035" s="285">
        <f>SUM(I1036:I1038)</f>
        <v>2.5630000000000002</v>
      </c>
    </row>
    <row r="1036" spans="1:9" ht="28.5">
      <c r="A1036" s="111" t="s">
        <v>434</v>
      </c>
      <c r="B1036" s="111" t="s">
        <v>491</v>
      </c>
      <c r="C1036" s="111" t="s">
        <v>427</v>
      </c>
      <c r="D1036" s="112" t="s">
        <v>492</v>
      </c>
      <c r="E1036" s="111" t="s">
        <v>464</v>
      </c>
      <c r="F1036" s="113">
        <v>0.1</v>
      </c>
      <c r="G1036" s="121" t="s">
        <v>493</v>
      </c>
      <c r="H1036" s="121" t="s">
        <v>606</v>
      </c>
      <c r="I1036" s="285">
        <f t="shared" ref="I1036:I1037" si="127">F1036*G1036</f>
        <v>1.681</v>
      </c>
    </row>
    <row r="1037" spans="1:9" ht="28.5">
      <c r="A1037" s="115" t="s">
        <v>437</v>
      </c>
      <c r="B1037" s="115" t="s">
        <v>607</v>
      </c>
      <c r="C1037" s="115" t="s">
        <v>427</v>
      </c>
      <c r="D1037" s="116" t="s">
        <v>608</v>
      </c>
      <c r="E1037" s="115" t="s">
        <v>451</v>
      </c>
      <c r="F1037" s="117">
        <v>1.05</v>
      </c>
      <c r="G1037" s="120" t="s">
        <v>609</v>
      </c>
      <c r="H1037" s="120" t="s">
        <v>610</v>
      </c>
      <c r="I1037" s="285">
        <f t="shared" si="127"/>
        <v>0.88200000000000001</v>
      </c>
    </row>
    <row r="1038" spans="1:9">
      <c r="A1038" s="104"/>
      <c r="B1038" s="104"/>
      <c r="C1038" s="104"/>
      <c r="D1038" s="104"/>
      <c r="E1038" s="104"/>
      <c r="F1038" s="105"/>
      <c r="G1038" s="106"/>
      <c r="H1038" s="107"/>
      <c r="I1038" s="285"/>
    </row>
    <row r="1039" spans="1:9">
      <c r="A1039" s="108"/>
      <c r="B1039" s="108"/>
      <c r="C1039" s="108"/>
      <c r="D1039" s="108"/>
      <c r="E1039" s="108"/>
      <c r="F1039" s="109"/>
      <c r="G1039" s="110"/>
      <c r="H1039" s="110"/>
      <c r="I1039" s="285"/>
    </row>
    <row r="1040" spans="1:9">
      <c r="A1040" s="97" t="s">
        <v>1432</v>
      </c>
      <c r="B1040" s="97" t="s">
        <v>418</v>
      </c>
      <c r="C1040" s="97" t="s">
        <v>419</v>
      </c>
      <c r="D1040" s="98" t="s">
        <v>420</v>
      </c>
      <c r="E1040" s="97" t="s">
        <v>421</v>
      </c>
      <c r="F1040" s="99" t="s">
        <v>422</v>
      </c>
      <c r="G1040" s="97" t="s">
        <v>423</v>
      </c>
      <c r="H1040" s="97" t="s">
        <v>424</v>
      </c>
      <c r="I1040" s="285"/>
    </row>
    <row r="1041" spans="1:9" ht="28.5">
      <c r="A1041" s="100" t="s">
        <v>425</v>
      </c>
      <c r="B1041" s="100" t="s">
        <v>612</v>
      </c>
      <c r="C1041" s="100" t="s">
        <v>431</v>
      </c>
      <c r="D1041" s="101" t="s">
        <v>69</v>
      </c>
      <c r="E1041" s="100" t="s">
        <v>60</v>
      </c>
      <c r="F1041" s="102">
        <v>1</v>
      </c>
      <c r="G1041" s="103">
        <v>18.100000000000001</v>
      </c>
      <c r="H1041" s="103">
        <v>18.100000000000001</v>
      </c>
      <c r="I1041" s="285">
        <f>SUM(I1042:I1046)</f>
        <v>18.125579999999999</v>
      </c>
    </row>
    <row r="1042" spans="1:9" ht="28.5">
      <c r="A1042" s="111" t="s">
        <v>434</v>
      </c>
      <c r="B1042" s="111" t="s">
        <v>589</v>
      </c>
      <c r="C1042" s="111" t="s">
        <v>431</v>
      </c>
      <c r="D1042" s="112" t="s">
        <v>590</v>
      </c>
      <c r="E1042" s="111" t="s">
        <v>520</v>
      </c>
      <c r="F1042" s="113">
        <v>8.0000000000000002E-3</v>
      </c>
      <c r="G1042" s="114">
        <v>17.059999999999999</v>
      </c>
      <c r="H1042" s="114">
        <v>0.13</v>
      </c>
      <c r="I1042" s="285">
        <f t="shared" ref="I1042:I1046" si="128">F1042*G1042</f>
        <v>0.13647999999999999</v>
      </c>
    </row>
    <row r="1043" spans="1:9" ht="28.5">
      <c r="A1043" s="111" t="s">
        <v>434</v>
      </c>
      <c r="B1043" s="111" t="s">
        <v>591</v>
      </c>
      <c r="C1043" s="111" t="s">
        <v>431</v>
      </c>
      <c r="D1043" s="112" t="s">
        <v>592</v>
      </c>
      <c r="E1043" s="111" t="s">
        <v>520</v>
      </c>
      <c r="F1043" s="113">
        <v>2.4E-2</v>
      </c>
      <c r="G1043" s="114">
        <v>22.96</v>
      </c>
      <c r="H1043" s="114">
        <v>0.55000000000000004</v>
      </c>
      <c r="I1043" s="285">
        <f t="shared" si="128"/>
        <v>0.55104000000000009</v>
      </c>
    </row>
    <row r="1044" spans="1:9" ht="28.5">
      <c r="A1044" s="115" t="s">
        <v>437</v>
      </c>
      <c r="B1044" s="115" t="s">
        <v>593</v>
      </c>
      <c r="C1044" s="115" t="s">
        <v>431</v>
      </c>
      <c r="D1044" s="116" t="s">
        <v>594</v>
      </c>
      <c r="E1044" s="115" t="s">
        <v>60</v>
      </c>
      <c r="F1044" s="117">
        <v>1.0999999999999999E-2</v>
      </c>
      <c r="G1044" s="118">
        <v>26.9</v>
      </c>
      <c r="H1044" s="118">
        <v>0.28999999999999998</v>
      </c>
      <c r="I1044" s="285">
        <f t="shared" si="128"/>
        <v>0.29589999999999994</v>
      </c>
    </row>
    <row r="1045" spans="1:9" ht="42.75">
      <c r="A1045" s="115" t="s">
        <v>437</v>
      </c>
      <c r="B1045" s="115" t="s">
        <v>613</v>
      </c>
      <c r="C1045" s="115" t="s">
        <v>431</v>
      </c>
      <c r="D1045" s="116" t="s">
        <v>614</v>
      </c>
      <c r="E1045" s="115" t="s">
        <v>451</v>
      </c>
      <c r="F1045" s="117">
        <v>0.39200000000000002</v>
      </c>
      <c r="G1045" s="118">
        <v>36.83</v>
      </c>
      <c r="H1045" s="118">
        <v>14.43</v>
      </c>
      <c r="I1045" s="285">
        <f t="shared" si="128"/>
        <v>14.43736</v>
      </c>
    </row>
    <row r="1046" spans="1:9" ht="42.75">
      <c r="A1046" s="115" t="s">
        <v>437</v>
      </c>
      <c r="B1046" s="115" t="s">
        <v>615</v>
      </c>
      <c r="C1046" s="115" t="s">
        <v>431</v>
      </c>
      <c r="D1046" s="116" t="s">
        <v>616</v>
      </c>
      <c r="E1046" s="115" t="s">
        <v>31</v>
      </c>
      <c r="F1046" s="117">
        <v>0.32200000000000001</v>
      </c>
      <c r="G1046" s="118">
        <v>8.4</v>
      </c>
      <c r="H1046" s="118">
        <v>2.7</v>
      </c>
      <c r="I1046" s="285">
        <f t="shared" si="128"/>
        <v>2.7048000000000001</v>
      </c>
    </row>
    <row r="1047" spans="1:9">
      <c r="A1047" s="104"/>
      <c r="B1047" s="104"/>
      <c r="C1047" s="104"/>
      <c r="D1047" s="104"/>
      <c r="E1047" s="104"/>
      <c r="F1047" s="105"/>
      <c r="G1047" s="106"/>
      <c r="H1047" s="107"/>
      <c r="I1047" s="285"/>
    </row>
    <row r="1048" spans="1:9">
      <c r="A1048" s="108"/>
      <c r="B1048" s="108"/>
      <c r="C1048" s="108"/>
      <c r="D1048" s="108"/>
      <c r="E1048" s="108"/>
      <c r="F1048" s="109"/>
      <c r="G1048" s="110"/>
      <c r="H1048" s="110"/>
      <c r="I1048" s="285"/>
    </row>
    <row r="1049" spans="1:9">
      <c r="A1049" s="97" t="s">
        <v>1433</v>
      </c>
      <c r="B1049" s="97" t="s">
        <v>418</v>
      </c>
      <c r="C1049" s="97" t="s">
        <v>419</v>
      </c>
      <c r="D1049" s="98" t="s">
        <v>420</v>
      </c>
      <c r="E1049" s="97" t="s">
        <v>421</v>
      </c>
      <c r="F1049" s="99" t="s">
        <v>422</v>
      </c>
      <c r="G1049" s="97" t="s">
        <v>423</v>
      </c>
      <c r="H1049" s="97" t="s">
        <v>424</v>
      </c>
      <c r="I1049" s="285"/>
    </row>
    <row r="1050" spans="1:9" ht="42.75">
      <c r="A1050" s="100" t="s">
        <v>425</v>
      </c>
      <c r="B1050" s="100" t="s">
        <v>618</v>
      </c>
      <c r="C1050" s="100" t="s">
        <v>431</v>
      </c>
      <c r="D1050" s="101" t="s">
        <v>71</v>
      </c>
      <c r="E1050" s="100" t="s">
        <v>468</v>
      </c>
      <c r="F1050" s="102">
        <v>1</v>
      </c>
      <c r="G1050" s="103">
        <v>472.85</v>
      </c>
      <c r="H1050" s="103">
        <v>472.85</v>
      </c>
      <c r="I1050" s="285">
        <f>SUM(I1051:I1055)</f>
        <v>472.87594000000001</v>
      </c>
    </row>
    <row r="1051" spans="1:9" ht="42.75">
      <c r="A1051" s="111" t="s">
        <v>434</v>
      </c>
      <c r="B1051" s="111" t="s">
        <v>548</v>
      </c>
      <c r="C1051" s="111" t="s">
        <v>431</v>
      </c>
      <c r="D1051" s="112" t="s">
        <v>549</v>
      </c>
      <c r="E1051" s="111" t="s">
        <v>515</v>
      </c>
      <c r="F1051" s="113">
        <v>5.2999999999999999E-2</v>
      </c>
      <c r="G1051" s="114">
        <v>1.29</v>
      </c>
      <c r="H1051" s="114">
        <v>0.06</v>
      </c>
      <c r="I1051" s="285">
        <f t="shared" ref="I1051:I1055" si="129">F1051*G1051</f>
        <v>6.837E-2</v>
      </c>
    </row>
    <row r="1052" spans="1:9" ht="42.75">
      <c r="A1052" s="111" t="s">
        <v>434</v>
      </c>
      <c r="B1052" s="111" t="s">
        <v>552</v>
      </c>
      <c r="C1052" s="111" t="s">
        <v>431</v>
      </c>
      <c r="D1052" s="112" t="s">
        <v>553</v>
      </c>
      <c r="E1052" s="111" t="s">
        <v>518</v>
      </c>
      <c r="F1052" s="113">
        <v>4.9000000000000002E-2</v>
      </c>
      <c r="G1052" s="114">
        <v>0.44</v>
      </c>
      <c r="H1052" s="114">
        <v>0.02</v>
      </c>
      <c r="I1052" s="285">
        <f t="shared" si="129"/>
        <v>2.1559999999999999E-2</v>
      </c>
    </row>
    <row r="1053" spans="1:9" ht="28.5">
      <c r="A1053" s="111" t="s">
        <v>434</v>
      </c>
      <c r="B1053" s="111" t="s">
        <v>519</v>
      </c>
      <c r="C1053" s="111" t="s">
        <v>431</v>
      </c>
      <c r="D1053" s="112" t="s">
        <v>492</v>
      </c>
      <c r="E1053" s="111" t="s">
        <v>520</v>
      </c>
      <c r="F1053" s="113">
        <v>0.41099999999999998</v>
      </c>
      <c r="G1053" s="114">
        <v>16.809999999999999</v>
      </c>
      <c r="H1053" s="114">
        <v>6.9</v>
      </c>
      <c r="I1053" s="285">
        <f t="shared" si="129"/>
        <v>6.9089099999999988</v>
      </c>
    </row>
    <row r="1054" spans="1:9" ht="28.5">
      <c r="A1054" s="111" t="s">
        <v>434</v>
      </c>
      <c r="B1054" s="111" t="s">
        <v>521</v>
      </c>
      <c r="C1054" s="111" t="s">
        <v>431</v>
      </c>
      <c r="D1054" s="112" t="s">
        <v>522</v>
      </c>
      <c r="E1054" s="111" t="s">
        <v>520</v>
      </c>
      <c r="F1054" s="113">
        <v>0.41099999999999998</v>
      </c>
      <c r="G1054" s="114">
        <v>23.1</v>
      </c>
      <c r="H1054" s="114">
        <v>9.49</v>
      </c>
      <c r="I1054" s="285">
        <f t="shared" si="129"/>
        <v>9.4940999999999995</v>
      </c>
    </row>
    <row r="1055" spans="1:9" ht="42.75">
      <c r="A1055" s="115" t="s">
        <v>437</v>
      </c>
      <c r="B1055" s="115" t="s">
        <v>557</v>
      </c>
      <c r="C1055" s="115" t="s">
        <v>431</v>
      </c>
      <c r="D1055" s="116" t="s">
        <v>558</v>
      </c>
      <c r="E1055" s="115" t="s">
        <v>468</v>
      </c>
      <c r="F1055" s="117">
        <v>1.06</v>
      </c>
      <c r="G1055" s="118">
        <v>430.55</v>
      </c>
      <c r="H1055" s="118">
        <v>456.38</v>
      </c>
      <c r="I1055" s="285">
        <f t="shared" si="129"/>
        <v>456.38300000000004</v>
      </c>
    </row>
    <row r="1056" spans="1:9">
      <c r="A1056" s="104"/>
      <c r="B1056" s="104"/>
      <c r="C1056" s="104"/>
      <c r="D1056" s="104"/>
      <c r="E1056" s="104"/>
      <c r="F1056" s="105"/>
      <c r="G1056" s="106"/>
      <c r="H1056" s="107"/>
      <c r="I1056" s="285"/>
    </row>
    <row r="1057" spans="1:18">
      <c r="A1057" s="108"/>
      <c r="B1057" s="108"/>
      <c r="C1057" s="108"/>
      <c r="D1057" s="108"/>
      <c r="E1057" s="108"/>
      <c r="F1057" s="109"/>
      <c r="G1057" s="110"/>
      <c r="H1057" s="110"/>
      <c r="I1057" s="285"/>
    </row>
    <row r="1058" spans="1:18">
      <c r="A1058" s="92" t="s">
        <v>1434</v>
      </c>
      <c r="B1058" s="92"/>
      <c r="C1058" s="92"/>
      <c r="D1058" s="93" t="s">
        <v>81</v>
      </c>
      <c r="E1058" s="94"/>
      <c r="F1058" s="95"/>
      <c r="G1058" s="92"/>
      <c r="H1058" s="96"/>
      <c r="I1058" s="285"/>
    </row>
    <row r="1059" spans="1:18">
      <c r="A1059" s="92" t="s">
        <v>1435</v>
      </c>
      <c r="B1059" s="92"/>
      <c r="C1059" s="92"/>
      <c r="D1059" s="93" t="s">
        <v>87</v>
      </c>
      <c r="E1059" s="94"/>
      <c r="F1059" s="95"/>
      <c r="G1059" s="92"/>
      <c r="H1059" s="96"/>
      <c r="I1059" s="285"/>
    </row>
    <row r="1060" spans="1:18">
      <c r="A1060" s="97" t="s">
        <v>1436</v>
      </c>
      <c r="B1060" s="97" t="s">
        <v>418</v>
      </c>
      <c r="C1060" s="97" t="s">
        <v>419</v>
      </c>
      <c r="D1060" s="98" t="s">
        <v>420</v>
      </c>
      <c r="E1060" s="97" t="s">
        <v>421</v>
      </c>
      <c r="F1060" s="99" t="s">
        <v>422</v>
      </c>
      <c r="G1060" s="97" t="s">
        <v>423</v>
      </c>
      <c r="H1060" s="97" t="s">
        <v>424</v>
      </c>
      <c r="I1060" s="285"/>
    </row>
    <row r="1061" spans="1:18" ht="42.75">
      <c r="A1061" s="100" t="s">
        <v>425</v>
      </c>
      <c r="B1061" s="100" t="s">
        <v>648</v>
      </c>
      <c r="C1061" s="100" t="s">
        <v>431</v>
      </c>
      <c r="D1061" s="101" t="s">
        <v>89</v>
      </c>
      <c r="E1061" s="100" t="s">
        <v>451</v>
      </c>
      <c r="F1061" s="102">
        <v>1</v>
      </c>
      <c r="G1061" s="103">
        <v>47.41</v>
      </c>
      <c r="H1061" s="103">
        <v>47.41</v>
      </c>
      <c r="I1061" s="285">
        <f>SUM(I1062:I1067)</f>
        <v>47.427029999999995</v>
      </c>
    </row>
    <row r="1062" spans="1:18" ht="42.75">
      <c r="A1062" s="111" t="s">
        <v>434</v>
      </c>
      <c r="B1062" s="111" t="s">
        <v>649</v>
      </c>
      <c r="C1062" s="111" t="s">
        <v>431</v>
      </c>
      <c r="D1062" s="112" t="s">
        <v>650</v>
      </c>
      <c r="E1062" s="111" t="s">
        <v>518</v>
      </c>
      <c r="F1062" s="113">
        <v>9.4000000000000004E-3</v>
      </c>
      <c r="G1062" s="114">
        <v>21.74</v>
      </c>
      <c r="H1062" s="114">
        <v>0.2</v>
      </c>
      <c r="I1062" s="285">
        <f t="shared" ref="I1062:I1067" si="130">F1062*G1062</f>
        <v>0.20435599999999998</v>
      </c>
    </row>
    <row r="1063" spans="1:18" ht="42.75">
      <c r="A1063" s="111" t="s">
        <v>434</v>
      </c>
      <c r="B1063" s="111" t="s">
        <v>651</v>
      </c>
      <c r="C1063" s="111" t="s">
        <v>431</v>
      </c>
      <c r="D1063" s="112" t="s">
        <v>652</v>
      </c>
      <c r="E1063" s="111" t="s">
        <v>515</v>
      </c>
      <c r="F1063" s="113">
        <v>6.7999999999999996E-3</v>
      </c>
      <c r="G1063" s="114">
        <v>22.78</v>
      </c>
      <c r="H1063" s="114">
        <v>0.15</v>
      </c>
      <c r="I1063" s="285">
        <f t="shared" si="130"/>
        <v>0.15490399999999999</v>
      </c>
    </row>
    <row r="1064" spans="1:18" ht="28.5">
      <c r="A1064" s="111" t="s">
        <v>434</v>
      </c>
      <c r="B1064" s="111" t="s">
        <v>519</v>
      </c>
      <c r="C1064" s="111" t="s">
        <v>431</v>
      </c>
      <c r="D1064" s="112" t="s">
        <v>492</v>
      </c>
      <c r="E1064" s="111" t="s">
        <v>520</v>
      </c>
      <c r="F1064" s="113">
        <v>0.106</v>
      </c>
      <c r="G1064" s="114">
        <v>16.809999999999999</v>
      </c>
      <c r="H1064" s="114">
        <v>1.78</v>
      </c>
      <c r="I1064" s="285">
        <f t="shared" si="130"/>
        <v>1.7818599999999998</v>
      </c>
    </row>
    <row r="1065" spans="1:18" ht="28.5">
      <c r="A1065" s="111" t="s">
        <v>434</v>
      </c>
      <c r="B1065" s="111" t="s">
        <v>625</v>
      </c>
      <c r="C1065" s="111" t="s">
        <v>431</v>
      </c>
      <c r="D1065" s="112" t="s">
        <v>626</v>
      </c>
      <c r="E1065" s="111" t="s">
        <v>520</v>
      </c>
      <c r="F1065" s="113">
        <v>0.21299999999999999</v>
      </c>
      <c r="G1065" s="114">
        <v>21.41</v>
      </c>
      <c r="H1065" s="114">
        <v>4.5599999999999996</v>
      </c>
      <c r="I1065" s="285">
        <f t="shared" si="130"/>
        <v>4.5603299999999996</v>
      </c>
    </row>
    <row r="1066" spans="1:18" ht="28.5">
      <c r="A1066" s="115" t="s">
        <v>437</v>
      </c>
      <c r="B1066" s="115" t="s">
        <v>653</v>
      </c>
      <c r="C1066" s="115" t="s">
        <v>431</v>
      </c>
      <c r="D1066" s="116" t="s">
        <v>654</v>
      </c>
      <c r="E1066" s="115" t="s">
        <v>655</v>
      </c>
      <c r="F1066" s="117">
        <v>7.0000000000000001E-3</v>
      </c>
      <c r="G1066" s="118">
        <v>240.75</v>
      </c>
      <c r="H1066" s="118">
        <v>1.68</v>
      </c>
      <c r="I1066" s="285">
        <f t="shared" si="130"/>
        <v>1.6852500000000001</v>
      </c>
    </row>
    <row r="1067" spans="1:18" ht="28.5">
      <c r="A1067" s="115" t="s">
        <v>437</v>
      </c>
      <c r="B1067" s="115" t="s">
        <v>656</v>
      </c>
      <c r="C1067" s="115" t="s">
        <v>431</v>
      </c>
      <c r="D1067" s="116" t="s">
        <v>657</v>
      </c>
      <c r="E1067" s="115" t="s">
        <v>60</v>
      </c>
      <c r="F1067" s="117">
        <v>4.3330000000000002</v>
      </c>
      <c r="G1067" s="118">
        <v>9.01</v>
      </c>
      <c r="H1067" s="118">
        <v>39.04</v>
      </c>
      <c r="I1067" s="285">
        <f t="shared" si="130"/>
        <v>39.040329999999997</v>
      </c>
    </row>
    <row r="1068" spans="1:18">
      <c r="A1068" s="104"/>
      <c r="B1068" s="104"/>
      <c r="C1068" s="104"/>
      <c r="D1068" s="104"/>
      <c r="E1068" s="104"/>
      <c r="F1068" s="105"/>
      <c r="G1068" s="106"/>
      <c r="H1068" s="107"/>
      <c r="I1068" s="285"/>
    </row>
    <row r="1069" spans="1:18">
      <c r="A1069" s="108"/>
      <c r="B1069" s="108"/>
      <c r="C1069" s="108"/>
      <c r="D1069" s="108"/>
      <c r="E1069" s="108"/>
      <c r="F1069" s="109"/>
      <c r="G1069" s="110"/>
      <c r="H1069" s="110"/>
      <c r="I1069" s="285"/>
    </row>
    <row r="1070" spans="1:18">
      <c r="A1070" s="97" t="s">
        <v>1437</v>
      </c>
      <c r="B1070" s="97" t="s">
        <v>418</v>
      </c>
      <c r="C1070" s="97" t="s">
        <v>419</v>
      </c>
      <c r="D1070" s="98" t="s">
        <v>420</v>
      </c>
      <c r="E1070" s="97" t="s">
        <v>421</v>
      </c>
      <c r="F1070" s="99" t="s">
        <v>422</v>
      </c>
      <c r="G1070" s="97" t="s">
        <v>423</v>
      </c>
      <c r="H1070" s="97" t="s">
        <v>424</v>
      </c>
      <c r="I1070" s="285"/>
    </row>
    <row r="1071" spans="1:18" ht="28.5">
      <c r="A1071" s="100" t="s">
        <v>425</v>
      </c>
      <c r="B1071" s="100" t="s">
        <v>659</v>
      </c>
      <c r="C1071" s="100" t="s">
        <v>427</v>
      </c>
      <c r="D1071" s="101" t="s">
        <v>92</v>
      </c>
      <c r="E1071" s="100" t="s">
        <v>451</v>
      </c>
      <c r="F1071" s="102">
        <v>1</v>
      </c>
      <c r="G1071" s="119">
        <v>30.32</v>
      </c>
      <c r="H1071" s="119">
        <v>30.32</v>
      </c>
      <c r="I1071" s="285">
        <f>SUM(I1072:I1077)</f>
        <v>30.361300000000004</v>
      </c>
      <c r="J1071" s="100" t="s">
        <v>425</v>
      </c>
      <c r="K1071" s="100" t="s">
        <v>659</v>
      </c>
      <c r="L1071" s="100" t="s">
        <v>427</v>
      </c>
      <c r="M1071" s="101" t="s">
        <v>92</v>
      </c>
      <c r="N1071" s="100" t="s">
        <v>451</v>
      </c>
      <c r="O1071" s="102">
        <v>1</v>
      </c>
      <c r="P1071" s="119" t="s">
        <v>660</v>
      </c>
      <c r="Q1071" s="119" t="s">
        <v>660</v>
      </c>
      <c r="R1071" s="285">
        <f>SUM(R1072:R1077)</f>
        <v>32.563600000000001</v>
      </c>
    </row>
    <row r="1072" spans="1:18" ht="28.5">
      <c r="A1072" s="111" t="s">
        <v>434</v>
      </c>
      <c r="B1072" s="111" t="s">
        <v>661</v>
      </c>
      <c r="C1072" s="111" t="s">
        <v>427</v>
      </c>
      <c r="D1072" s="112" t="s">
        <v>662</v>
      </c>
      <c r="E1072" s="111" t="s">
        <v>1576</v>
      </c>
      <c r="F1072" s="113">
        <v>0.08</v>
      </c>
      <c r="G1072" s="121">
        <v>19.11</v>
      </c>
      <c r="H1072" s="121">
        <v>1.52</v>
      </c>
      <c r="I1072" s="285">
        <f t="shared" ref="I1072:I1077" si="131">F1072*G1072</f>
        <v>1.5287999999999999</v>
      </c>
      <c r="J1072" s="111" t="s">
        <v>434</v>
      </c>
      <c r="K1072" s="111" t="s">
        <v>661</v>
      </c>
      <c r="L1072" s="111" t="s">
        <v>427</v>
      </c>
      <c r="M1072" s="112" t="s">
        <v>662</v>
      </c>
      <c r="N1072" s="111" t="s">
        <v>464</v>
      </c>
      <c r="O1072" s="113">
        <v>0.08</v>
      </c>
      <c r="P1072" s="121" t="s">
        <v>663</v>
      </c>
      <c r="Q1072" s="121" t="s">
        <v>664</v>
      </c>
      <c r="R1072" s="285">
        <f t="shared" ref="R1072:R1077" si="132">O1072*P1072</f>
        <v>1.5287999999999999</v>
      </c>
    </row>
    <row r="1073" spans="1:18" ht="28.5">
      <c r="A1073" s="111" t="s">
        <v>434</v>
      </c>
      <c r="B1073" s="111" t="s">
        <v>665</v>
      </c>
      <c r="C1073" s="111" t="s">
        <v>427</v>
      </c>
      <c r="D1073" s="112" t="s">
        <v>666</v>
      </c>
      <c r="E1073" s="111" t="s">
        <v>1576</v>
      </c>
      <c r="F1073" s="113">
        <v>0.8</v>
      </c>
      <c r="G1073" s="121">
        <v>24.16</v>
      </c>
      <c r="H1073" s="121">
        <v>19.32</v>
      </c>
      <c r="I1073" s="285">
        <f t="shared" si="131"/>
        <v>19.328000000000003</v>
      </c>
      <c r="J1073" s="111" t="s">
        <v>434</v>
      </c>
      <c r="K1073" s="111" t="s">
        <v>665</v>
      </c>
      <c r="L1073" s="111" t="s">
        <v>427</v>
      </c>
      <c r="M1073" s="112" t="s">
        <v>666</v>
      </c>
      <c r="N1073" s="111" t="s">
        <v>464</v>
      </c>
      <c r="O1073" s="113">
        <v>0.8</v>
      </c>
      <c r="P1073" s="121" t="s">
        <v>667</v>
      </c>
      <c r="Q1073" s="121" t="s">
        <v>668</v>
      </c>
      <c r="R1073" s="285">
        <f t="shared" si="132"/>
        <v>19.328000000000003</v>
      </c>
    </row>
    <row r="1074" spans="1:18" ht="28.5">
      <c r="A1074" s="287" t="s">
        <v>437</v>
      </c>
      <c r="B1074" s="287" t="s">
        <v>683</v>
      </c>
      <c r="C1074" s="287" t="s">
        <v>427</v>
      </c>
      <c r="D1074" s="288" t="s">
        <v>684</v>
      </c>
      <c r="E1074" s="287" t="s">
        <v>671</v>
      </c>
      <c r="F1074" s="289">
        <v>0.16</v>
      </c>
      <c r="G1074" s="291">
        <v>30.17</v>
      </c>
      <c r="H1074" s="120">
        <v>4.82</v>
      </c>
      <c r="I1074" s="285">
        <f t="shared" si="131"/>
        <v>4.8272000000000004</v>
      </c>
      <c r="J1074" s="271" t="s">
        <v>437</v>
      </c>
      <c r="K1074" s="271" t="s">
        <v>669</v>
      </c>
      <c r="L1074" s="271" t="s">
        <v>427</v>
      </c>
      <c r="M1074" s="272" t="s">
        <v>670</v>
      </c>
      <c r="N1074" s="271" t="s">
        <v>671</v>
      </c>
      <c r="O1074" s="273">
        <v>0.12</v>
      </c>
      <c r="P1074" s="270" t="s">
        <v>672</v>
      </c>
      <c r="Q1074" s="120" t="s">
        <v>673</v>
      </c>
      <c r="R1074" s="285">
        <f t="shared" si="132"/>
        <v>3.6204000000000001</v>
      </c>
    </row>
    <row r="1075" spans="1:18" ht="28.5">
      <c r="A1075" s="287" t="s">
        <v>437</v>
      </c>
      <c r="B1075" s="287" t="s">
        <v>679</v>
      </c>
      <c r="C1075" s="287" t="s">
        <v>427</v>
      </c>
      <c r="D1075" s="288" t="s">
        <v>680</v>
      </c>
      <c r="E1075" s="287" t="s">
        <v>671</v>
      </c>
      <c r="F1075" s="289">
        <v>0.03</v>
      </c>
      <c r="G1075" s="291">
        <v>11.47</v>
      </c>
      <c r="H1075" s="120">
        <v>0.34</v>
      </c>
      <c r="I1075" s="285">
        <f t="shared" si="131"/>
        <v>0.34410000000000002</v>
      </c>
      <c r="J1075" s="271" t="s">
        <v>437</v>
      </c>
      <c r="K1075" s="271" t="s">
        <v>674</v>
      </c>
      <c r="L1075" s="271" t="s">
        <v>427</v>
      </c>
      <c r="M1075" s="272" t="s">
        <v>675</v>
      </c>
      <c r="N1075" s="271" t="s">
        <v>676</v>
      </c>
      <c r="O1075" s="273">
        <v>0.3</v>
      </c>
      <c r="P1075" s="270" t="s">
        <v>677</v>
      </c>
      <c r="Q1075" s="120" t="s">
        <v>678</v>
      </c>
      <c r="R1075" s="285">
        <f t="shared" si="132"/>
        <v>3.4410000000000003</v>
      </c>
    </row>
    <row r="1076" spans="1:18" ht="28.5">
      <c r="A1076" s="287" t="s">
        <v>437</v>
      </c>
      <c r="B1076" s="287" t="s">
        <v>674</v>
      </c>
      <c r="C1076" s="287" t="s">
        <v>427</v>
      </c>
      <c r="D1076" s="288" t="s">
        <v>675</v>
      </c>
      <c r="E1076" s="287" t="s">
        <v>676</v>
      </c>
      <c r="F1076" s="289">
        <v>0.3</v>
      </c>
      <c r="G1076" s="291">
        <v>3.06</v>
      </c>
      <c r="H1076" s="120">
        <v>0.91</v>
      </c>
      <c r="I1076" s="285">
        <f t="shared" si="131"/>
        <v>0.91799999999999993</v>
      </c>
      <c r="J1076" s="271" t="s">
        <v>437</v>
      </c>
      <c r="K1076" s="271" t="s">
        <v>679</v>
      </c>
      <c r="L1076" s="271" t="s">
        <v>427</v>
      </c>
      <c r="M1076" s="272" t="s">
        <v>680</v>
      </c>
      <c r="N1076" s="271" t="s">
        <v>671</v>
      </c>
      <c r="O1076" s="273">
        <v>0.03</v>
      </c>
      <c r="P1076" s="270" t="s">
        <v>681</v>
      </c>
      <c r="Q1076" s="120" t="s">
        <v>682</v>
      </c>
      <c r="R1076" s="285">
        <f t="shared" si="132"/>
        <v>9.1799999999999993E-2</v>
      </c>
    </row>
    <row r="1077" spans="1:18" ht="28.5">
      <c r="A1077" s="287" t="s">
        <v>437</v>
      </c>
      <c r="B1077" s="287" t="s">
        <v>669</v>
      </c>
      <c r="C1077" s="287" t="s">
        <v>427</v>
      </c>
      <c r="D1077" s="288" t="s">
        <v>670</v>
      </c>
      <c r="E1077" s="287" t="s">
        <v>671</v>
      </c>
      <c r="F1077" s="289">
        <v>0.12</v>
      </c>
      <c r="G1077" s="291">
        <v>28.46</v>
      </c>
      <c r="H1077" s="120">
        <v>3.41</v>
      </c>
      <c r="I1077" s="285">
        <f t="shared" si="131"/>
        <v>3.4152</v>
      </c>
      <c r="J1077" s="271" t="s">
        <v>437</v>
      </c>
      <c r="K1077" s="271" t="s">
        <v>683</v>
      </c>
      <c r="L1077" s="271" t="s">
        <v>427</v>
      </c>
      <c r="M1077" s="272" t="s">
        <v>684</v>
      </c>
      <c r="N1077" s="271" t="s">
        <v>671</v>
      </c>
      <c r="O1077" s="273">
        <v>0.16</v>
      </c>
      <c r="P1077" s="270" t="s">
        <v>685</v>
      </c>
      <c r="Q1077" s="120" t="s">
        <v>686</v>
      </c>
      <c r="R1077" s="285">
        <f t="shared" si="132"/>
        <v>4.5536000000000003</v>
      </c>
    </row>
    <row r="1078" spans="1:18">
      <c r="A1078" s="104"/>
      <c r="B1078" s="104"/>
      <c r="C1078" s="104"/>
      <c r="D1078" s="104"/>
      <c r="E1078" s="104"/>
      <c r="F1078" s="105"/>
      <c r="G1078" s="106"/>
      <c r="H1078" s="107"/>
      <c r="I1078" s="285"/>
    </row>
    <row r="1079" spans="1:18">
      <c r="A1079" s="108"/>
      <c r="B1079" s="108"/>
      <c r="C1079" s="108"/>
      <c r="D1079" s="108"/>
      <c r="E1079" s="108"/>
      <c r="F1079" s="109"/>
      <c r="G1079" s="110"/>
      <c r="H1079" s="110"/>
      <c r="I1079" s="285"/>
    </row>
    <row r="1080" spans="1:18">
      <c r="A1080" s="92" t="s">
        <v>1438</v>
      </c>
      <c r="B1080" s="92"/>
      <c r="C1080" s="92"/>
      <c r="D1080" s="93" t="s">
        <v>363</v>
      </c>
      <c r="E1080" s="94"/>
      <c r="F1080" s="95"/>
      <c r="G1080" s="92"/>
      <c r="H1080" s="96"/>
      <c r="I1080" s="285"/>
    </row>
    <row r="1081" spans="1:18">
      <c r="A1081" s="97" t="s">
        <v>1439</v>
      </c>
      <c r="B1081" s="97" t="s">
        <v>418</v>
      </c>
      <c r="C1081" s="97" t="s">
        <v>419</v>
      </c>
      <c r="D1081" s="98" t="s">
        <v>420</v>
      </c>
      <c r="E1081" s="97" t="s">
        <v>421</v>
      </c>
      <c r="F1081" s="99" t="s">
        <v>422</v>
      </c>
      <c r="G1081" s="97" t="s">
        <v>423</v>
      </c>
      <c r="H1081" s="97" t="s">
        <v>424</v>
      </c>
      <c r="I1081" s="285"/>
    </row>
    <row r="1082" spans="1:18" ht="57">
      <c r="A1082" s="100" t="s">
        <v>425</v>
      </c>
      <c r="B1082" s="100" t="s">
        <v>689</v>
      </c>
      <c r="C1082" s="100" t="s">
        <v>427</v>
      </c>
      <c r="D1082" s="101" t="s">
        <v>97</v>
      </c>
      <c r="E1082" s="100" t="s">
        <v>451</v>
      </c>
      <c r="F1082" s="102">
        <v>1</v>
      </c>
      <c r="G1082" s="119">
        <v>82.71</v>
      </c>
      <c r="H1082" s="119">
        <v>82.71</v>
      </c>
      <c r="I1082" s="285">
        <f>SUM(I1083:I1087)</f>
        <v>82.733199999999997</v>
      </c>
      <c r="J1082" s="100" t="s">
        <v>425</v>
      </c>
      <c r="K1082" s="100" t="s">
        <v>689</v>
      </c>
      <c r="L1082" s="100" t="s">
        <v>427</v>
      </c>
      <c r="M1082" s="101" t="s">
        <v>97</v>
      </c>
      <c r="N1082" s="100" t="s">
        <v>451</v>
      </c>
      <c r="O1082" s="102">
        <v>1</v>
      </c>
      <c r="P1082" s="119" t="s">
        <v>690</v>
      </c>
      <c r="Q1082" s="119" t="s">
        <v>690</v>
      </c>
      <c r="R1082" s="285">
        <f>SUM(R1083:R1087)</f>
        <v>54.722900000000003</v>
      </c>
    </row>
    <row r="1083" spans="1:18" ht="28.5">
      <c r="A1083" s="283" t="s">
        <v>434</v>
      </c>
      <c r="B1083" s="283" t="s">
        <v>491</v>
      </c>
      <c r="C1083" s="283" t="s">
        <v>427</v>
      </c>
      <c r="D1083" s="284" t="s">
        <v>492</v>
      </c>
      <c r="E1083" s="283" t="s">
        <v>1576</v>
      </c>
      <c r="F1083" s="292">
        <v>0.8</v>
      </c>
      <c r="G1083" s="293">
        <v>16.809999999999999</v>
      </c>
      <c r="H1083" s="121">
        <v>13.44</v>
      </c>
      <c r="I1083" s="285">
        <f t="shared" ref="I1083:I1087" si="133">F1083*G1083</f>
        <v>13.448</v>
      </c>
      <c r="J1083" s="281" t="s">
        <v>434</v>
      </c>
      <c r="K1083" s="281" t="s">
        <v>691</v>
      </c>
      <c r="L1083" s="281" t="s">
        <v>427</v>
      </c>
      <c r="M1083" s="282" t="s">
        <v>692</v>
      </c>
      <c r="N1083" s="281" t="s">
        <v>464</v>
      </c>
      <c r="O1083" s="294">
        <v>0.4</v>
      </c>
      <c r="P1083" s="295" t="s">
        <v>493</v>
      </c>
      <c r="Q1083" s="121" t="s">
        <v>693</v>
      </c>
      <c r="R1083" s="285">
        <f t="shared" ref="R1083:R1087" si="134">O1083*P1083</f>
        <v>6.7240000000000002</v>
      </c>
    </row>
    <row r="1084" spans="1:18" ht="28.5">
      <c r="A1084" s="283" t="s">
        <v>434</v>
      </c>
      <c r="B1084" s="283" t="s">
        <v>691</v>
      </c>
      <c r="C1084" s="283" t="s">
        <v>427</v>
      </c>
      <c r="D1084" s="284" t="s">
        <v>692</v>
      </c>
      <c r="E1084" s="283" t="s">
        <v>1576</v>
      </c>
      <c r="F1084" s="292">
        <v>0.4</v>
      </c>
      <c r="G1084" s="293">
        <v>21.41</v>
      </c>
      <c r="H1084" s="121">
        <v>8.56</v>
      </c>
      <c r="I1084" s="285">
        <f t="shared" si="133"/>
        <v>8.5640000000000001</v>
      </c>
      <c r="J1084" s="281" t="s">
        <v>434</v>
      </c>
      <c r="K1084" s="281" t="s">
        <v>491</v>
      </c>
      <c r="L1084" s="281" t="s">
        <v>427</v>
      </c>
      <c r="M1084" s="282" t="s">
        <v>492</v>
      </c>
      <c r="N1084" s="281" t="s">
        <v>464</v>
      </c>
      <c r="O1084" s="294">
        <v>0.8</v>
      </c>
      <c r="P1084" s="295" t="s">
        <v>694</v>
      </c>
      <c r="Q1084" s="121" t="s">
        <v>695</v>
      </c>
      <c r="R1084" s="285">
        <f t="shared" si="134"/>
        <v>17.128</v>
      </c>
    </row>
    <row r="1085" spans="1:18" ht="57">
      <c r="A1085" s="274" t="s">
        <v>437</v>
      </c>
      <c r="B1085" s="274" t="s">
        <v>704</v>
      </c>
      <c r="C1085" s="274" t="s">
        <v>427</v>
      </c>
      <c r="D1085" s="275" t="s">
        <v>705</v>
      </c>
      <c r="E1085" s="274" t="s">
        <v>451</v>
      </c>
      <c r="F1085" s="276">
        <v>1.2</v>
      </c>
      <c r="G1085" s="277">
        <v>48.09</v>
      </c>
      <c r="H1085" s="120">
        <v>57.7</v>
      </c>
      <c r="I1085" s="285">
        <f t="shared" si="133"/>
        <v>57.707999999999998</v>
      </c>
      <c r="J1085" s="271" t="s">
        <v>437</v>
      </c>
      <c r="K1085" s="271" t="s">
        <v>696</v>
      </c>
      <c r="L1085" s="271" t="s">
        <v>427</v>
      </c>
      <c r="M1085" s="272" t="s">
        <v>697</v>
      </c>
      <c r="N1085" s="271" t="s">
        <v>676</v>
      </c>
      <c r="O1085" s="273">
        <v>0.61</v>
      </c>
      <c r="P1085" s="270" t="s">
        <v>698</v>
      </c>
      <c r="Q1085" s="120" t="s">
        <v>699</v>
      </c>
      <c r="R1085" s="285">
        <f t="shared" si="134"/>
        <v>29.334900000000001</v>
      </c>
    </row>
    <row r="1086" spans="1:18" ht="28.5">
      <c r="A1086" s="274" t="s">
        <v>437</v>
      </c>
      <c r="B1086" s="274" t="s">
        <v>696</v>
      </c>
      <c r="C1086" s="274" t="s">
        <v>427</v>
      </c>
      <c r="D1086" s="275" t="s">
        <v>697</v>
      </c>
      <c r="E1086" s="274" t="s">
        <v>676</v>
      </c>
      <c r="F1086" s="276">
        <v>0.61</v>
      </c>
      <c r="G1086" s="277">
        <v>0.12</v>
      </c>
      <c r="H1086" s="120">
        <v>7.0000000000000007E-2</v>
      </c>
      <c r="I1086" s="285">
        <f t="shared" si="133"/>
        <v>7.3200000000000001E-2</v>
      </c>
      <c r="J1086" s="271" t="s">
        <v>437</v>
      </c>
      <c r="K1086" s="271" t="s">
        <v>700</v>
      </c>
      <c r="L1086" s="271" t="s">
        <v>427</v>
      </c>
      <c r="M1086" s="272" t="s">
        <v>701</v>
      </c>
      <c r="N1086" s="271" t="s">
        <v>542</v>
      </c>
      <c r="O1086" s="273">
        <v>3</v>
      </c>
      <c r="P1086" s="270" t="s">
        <v>702</v>
      </c>
      <c r="Q1086" s="120" t="s">
        <v>703</v>
      </c>
      <c r="R1086" s="285">
        <f t="shared" si="134"/>
        <v>0.36</v>
      </c>
    </row>
    <row r="1087" spans="1:18" ht="57">
      <c r="A1087" s="274" t="s">
        <v>437</v>
      </c>
      <c r="B1087" s="274" t="s">
        <v>700</v>
      </c>
      <c r="C1087" s="274" t="s">
        <v>427</v>
      </c>
      <c r="D1087" s="275" t="s">
        <v>701</v>
      </c>
      <c r="E1087" s="274" t="s">
        <v>542</v>
      </c>
      <c r="F1087" s="276">
        <v>3</v>
      </c>
      <c r="G1087" s="277">
        <v>0.98</v>
      </c>
      <c r="H1087" s="120">
        <v>2.94</v>
      </c>
      <c r="I1087" s="285">
        <f t="shared" si="133"/>
        <v>2.94</v>
      </c>
      <c r="J1087" s="271" t="s">
        <v>437</v>
      </c>
      <c r="K1087" s="271" t="s">
        <v>704</v>
      </c>
      <c r="L1087" s="271" t="s">
        <v>427</v>
      </c>
      <c r="M1087" s="272" t="s">
        <v>705</v>
      </c>
      <c r="N1087" s="271" t="s">
        <v>451</v>
      </c>
      <c r="O1087" s="273">
        <v>1.2</v>
      </c>
      <c r="P1087" s="270" t="s">
        <v>706</v>
      </c>
      <c r="Q1087" s="120" t="s">
        <v>707</v>
      </c>
      <c r="R1087" s="285">
        <f t="shared" si="134"/>
        <v>1.1759999999999999</v>
      </c>
    </row>
    <row r="1088" spans="1:18">
      <c r="A1088" s="104"/>
      <c r="B1088" s="104"/>
      <c r="C1088" s="104"/>
      <c r="D1088" s="104"/>
      <c r="E1088" s="104"/>
      <c r="F1088" s="105"/>
      <c r="G1088" s="106"/>
      <c r="H1088" s="107"/>
      <c r="I1088" s="285"/>
    </row>
    <row r="1089" spans="1:9">
      <c r="A1089" s="108"/>
      <c r="B1089" s="108"/>
      <c r="C1089" s="108"/>
      <c r="D1089" s="108"/>
      <c r="E1089" s="108"/>
      <c r="F1089" s="109"/>
      <c r="G1089" s="110"/>
      <c r="H1089" s="110"/>
      <c r="I1089" s="285"/>
    </row>
    <row r="1090" spans="1:9">
      <c r="A1090" s="92" t="s">
        <v>1440</v>
      </c>
      <c r="B1090" s="92"/>
      <c r="C1090" s="92"/>
      <c r="D1090" s="93" t="s">
        <v>109</v>
      </c>
      <c r="E1090" s="94"/>
      <c r="F1090" s="95"/>
      <c r="G1090" s="92"/>
      <c r="H1090" s="96"/>
      <c r="I1090" s="285"/>
    </row>
    <row r="1091" spans="1:9">
      <c r="A1091" s="92" t="s">
        <v>1441</v>
      </c>
      <c r="B1091" s="92"/>
      <c r="C1091" s="92"/>
      <c r="D1091" s="93" t="s">
        <v>111</v>
      </c>
      <c r="E1091" s="94"/>
      <c r="F1091" s="95"/>
      <c r="G1091" s="92"/>
      <c r="H1091" s="96"/>
      <c r="I1091" s="285"/>
    </row>
    <row r="1092" spans="1:9">
      <c r="A1092" s="97" t="s">
        <v>1442</v>
      </c>
      <c r="B1092" s="97" t="s">
        <v>418</v>
      </c>
      <c r="C1092" s="97" t="s">
        <v>419</v>
      </c>
      <c r="D1092" s="98" t="s">
        <v>420</v>
      </c>
      <c r="E1092" s="97" t="s">
        <v>421</v>
      </c>
      <c r="F1092" s="99" t="s">
        <v>422</v>
      </c>
      <c r="G1092" s="97" t="s">
        <v>423</v>
      </c>
      <c r="H1092" s="97" t="s">
        <v>424</v>
      </c>
      <c r="I1092" s="285"/>
    </row>
    <row r="1093" spans="1:9" ht="57">
      <c r="A1093" s="100" t="s">
        <v>425</v>
      </c>
      <c r="B1093" s="100" t="s">
        <v>771</v>
      </c>
      <c r="C1093" s="100" t="s">
        <v>431</v>
      </c>
      <c r="D1093" s="101" t="s">
        <v>113</v>
      </c>
      <c r="E1093" s="100" t="s">
        <v>451</v>
      </c>
      <c r="F1093" s="102">
        <v>1</v>
      </c>
      <c r="G1093" s="103">
        <v>52.12</v>
      </c>
      <c r="H1093" s="103">
        <v>52.12</v>
      </c>
      <c r="I1093" s="285">
        <f>SUM(I1094:I1099)</f>
        <v>52.16109999999999</v>
      </c>
    </row>
    <row r="1094" spans="1:9" ht="57">
      <c r="A1094" s="111" t="s">
        <v>434</v>
      </c>
      <c r="B1094" s="111" t="s">
        <v>772</v>
      </c>
      <c r="C1094" s="111" t="s">
        <v>431</v>
      </c>
      <c r="D1094" s="112" t="s">
        <v>773</v>
      </c>
      <c r="E1094" s="111" t="s">
        <v>468</v>
      </c>
      <c r="F1094" s="113">
        <v>1.04E-2</v>
      </c>
      <c r="G1094" s="114">
        <v>444.75</v>
      </c>
      <c r="H1094" s="114">
        <v>4.62</v>
      </c>
      <c r="I1094" s="285">
        <f t="shared" ref="I1094:I1099" si="135">F1094*G1094</f>
        <v>4.6254</v>
      </c>
    </row>
    <row r="1095" spans="1:9" ht="28.5">
      <c r="A1095" s="111" t="s">
        <v>434</v>
      </c>
      <c r="B1095" s="111" t="s">
        <v>519</v>
      </c>
      <c r="C1095" s="111" t="s">
        <v>431</v>
      </c>
      <c r="D1095" s="112" t="s">
        <v>492</v>
      </c>
      <c r="E1095" s="111" t="s">
        <v>520</v>
      </c>
      <c r="F1095" s="113">
        <v>0.29499999999999998</v>
      </c>
      <c r="G1095" s="114">
        <v>16.809999999999999</v>
      </c>
      <c r="H1095" s="114">
        <v>4.95</v>
      </c>
      <c r="I1095" s="285">
        <f t="shared" si="135"/>
        <v>4.9589499999999997</v>
      </c>
    </row>
    <row r="1096" spans="1:9" ht="28.5">
      <c r="A1096" s="111" t="s">
        <v>434</v>
      </c>
      <c r="B1096" s="111" t="s">
        <v>521</v>
      </c>
      <c r="C1096" s="111" t="s">
        <v>431</v>
      </c>
      <c r="D1096" s="112" t="s">
        <v>522</v>
      </c>
      <c r="E1096" s="111" t="s">
        <v>520</v>
      </c>
      <c r="F1096" s="113">
        <v>0.59</v>
      </c>
      <c r="G1096" s="114">
        <v>23.1</v>
      </c>
      <c r="H1096" s="114">
        <v>13.62</v>
      </c>
      <c r="I1096" s="285">
        <f t="shared" si="135"/>
        <v>13.629</v>
      </c>
    </row>
    <row r="1097" spans="1:9" ht="28.5">
      <c r="A1097" s="115" t="s">
        <v>437</v>
      </c>
      <c r="B1097" s="115" t="s">
        <v>774</v>
      </c>
      <c r="C1097" s="115" t="s">
        <v>431</v>
      </c>
      <c r="D1097" s="116" t="s">
        <v>775</v>
      </c>
      <c r="E1097" s="115" t="s">
        <v>8</v>
      </c>
      <c r="F1097" s="117">
        <v>13.6</v>
      </c>
      <c r="G1097" s="118">
        <v>2</v>
      </c>
      <c r="H1097" s="118">
        <v>27.2</v>
      </c>
      <c r="I1097" s="285">
        <f t="shared" si="135"/>
        <v>27.2</v>
      </c>
    </row>
    <row r="1098" spans="1:9">
      <c r="A1098" s="115" t="s">
        <v>437</v>
      </c>
      <c r="B1098" s="115" t="s">
        <v>776</v>
      </c>
      <c r="C1098" s="115" t="s">
        <v>431</v>
      </c>
      <c r="D1098" s="116" t="s">
        <v>777</v>
      </c>
      <c r="E1098" s="115" t="s">
        <v>655</v>
      </c>
      <c r="F1098" s="117">
        <v>5.0000000000000001E-3</v>
      </c>
      <c r="G1098" s="118">
        <v>75.709999999999994</v>
      </c>
      <c r="H1098" s="118">
        <v>0.37</v>
      </c>
      <c r="I1098" s="285">
        <f t="shared" si="135"/>
        <v>0.37855</v>
      </c>
    </row>
    <row r="1099" spans="1:9" ht="42.75">
      <c r="A1099" s="115" t="s">
        <v>437</v>
      </c>
      <c r="B1099" s="115" t="s">
        <v>778</v>
      </c>
      <c r="C1099" s="115" t="s">
        <v>431</v>
      </c>
      <c r="D1099" s="116" t="s">
        <v>779</v>
      </c>
      <c r="E1099" s="115" t="s">
        <v>31</v>
      </c>
      <c r="F1099" s="117">
        <v>0.42</v>
      </c>
      <c r="G1099" s="118">
        <v>3.26</v>
      </c>
      <c r="H1099" s="118">
        <v>1.36</v>
      </c>
      <c r="I1099" s="285">
        <f t="shared" si="135"/>
        <v>1.3691999999999998</v>
      </c>
    </row>
    <row r="1100" spans="1:9">
      <c r="A1100" s="104"/>
      <c r="B1100" s="104"/>
      <c r="C1100" s="104"/>
      <c r="D1100" s="104"/>
      <c r="E1100" s="104"/>
      <c r="F1100" s="105"/>
      <c r="G1100" s="106"/>
      <c r="H1100" s="107"/>
      <c r="I1100" s="285"/>
    </row>
    <row r="1101" spans="1:9">
      <c r="A1101" s="108"/>
      <c r="B1101" s="108"/>
      <c r="C1101" s="108"/>
      <c r="D1101" s="108"/>
      <c r="E1101" s="108"/>
      <c r="F1101" s="109"/>
      <c r="G1101" s="110"/>
      <c r="H1101" s="110"/>
      <c r="I1101" s="285"/>
    </row>
    <row r="1102" spans="1:9">
      <c r="A1102" s="92" t="s">
        <v>1443</v>
      </c>
      <c r="B1102" s="92"/>
      <c r="C1102" s="92"/>
      <c r="D1102" s="93" t="s">
        <v>115</v>
      </c>
      <c r="E1102" s="94"/>
      <c r="F1102" s="95"/>
      <c r="G1102" s="92"/>
      <c r="H1102" s="96"/>
      <c r="I1102" s="285"/>
    </row>
    <row r="1103" spans="1:9">
      <c r="A1103" s="97" t="s">
        <v>1444</v>
      </c>
      <c r="B1103" s="97" t="s">
        <v>418</v>
      </c>
      <c r="C1103" s="97" t="s">
        <v>419</v>
      </c>
      <c r="D1103" s="98" t="s">
        <v>420</v>
      </c>
      <c r="E1103" s="97" t="s">
        <v>421</v>
      </c>
      <c r="F1103" s="99" t="s">
        <v>422</v>
      </c>
      <c r="G1103" s="97" t="s">
        <v>423</v>
      </c>
      <c r="H1103" s="97" t="s">
        <v>424</v>
      </c>
      <c r="I1103" s="285"/>
    </row>
    <row r="1104" spans="1:9" ht="28.5">
      <c r="A1104" s="100" t="s">
        <v>425</v>
      </c>
      <c r="B1104" s="100" t="s">
        <v>782</v>
      </c>
      <c r="C1104" s="100" t="s">
        <v>431</v>
      </c>
      <c r="D1104" s="101" t="s">
        <v>117</v>
      </c>
      <c r="E1104" s="100" t="s">
        <v>451</v>
      </c>
      <c r="F1104" s="102">
        <v>1</v>
      </c>
      <c r="G1104" s="103">
        <v>3.59</v>
      </c>
      <c r="H1104" s="103">
        <v>3.59</v>
      </c>
      <c r="I1104" s="285">
        <f>SUM(I1105:I1110)</f>
        <v>3.610894</v>
      </c>
    </row>
    <row r="1105" spans="1:9" ht="42.75">
      <c r="A1105" s="111" t="s">
        <v>434</v>
      </c>
      <c r="B1105" s="111" t="s">
        <v>783</v>
      </c>
      <c r="C1105" s="111" t="s">
        <v>431</v>
      </c>
      <c r="D1105" s="112" t="s">
        <v>784</v>
      </c>
      <c r="E1105" s="111" t="s">
        <v>468</v>
      </c>
      <c r="F1105" s="113">
        <v>4.1999999999999997E-3</v>
      </c>
      <c r="G1105" s="114">
        <v>446.72</v>
      </c>
      <c r="H1105" s="114">
        <v>1.87</v>
      </c>
      <c r="I1105" s="285">
        <f t="shared" ref="I1105:I1107" si="136">F1105*G1105</f>
        <v>1.8762239999999999</v>
      </c>
    </row>
    <row r="1106" spans="1:9" ht="28.5">
      <c r="A1106" s="111" t="s">
        <v>434</v>
      </c>
      <c r="B1106" s="111" t="s">
        <v>521</v>
      </c>
      <c r="C1106" s="111" t="s">
        <v>431</v>
      </c>
      <c r="D1106" s="112" t="s">
        <v>522</v>
      </c>
      <c r="E1106" s="111" t="s">
        <v>520</v>
      </c>
      <c r="F1106" s="113">
        <v>7.0000000000000007E-2</v>
      </c>
      <c r="G1106" s="114">
        <v>23.1</v>
      </c>
      <c r="H1106" s="114">
        <v>1.61</v>
      </c>
      <c r="I1106" s="285">
        <f t="shared" si="136"/>
        <v>1.6170000000000002</v>
      </c>
    </row>
    <row r="1107" spans="1:9" ht="28.5">
      <c r="A1107" s="111" t="s">
        <v>434</v>
      </c>
      <c r="B1107" s="111" t="s">
        <v>519</v>
      </c>
      <c r="C1107" s="111" t="s">
        <v>431</v>
      </c>
      <c r="D1107" s="112" t="s">
        <v>492</v>
      </c>
      <c r="E1107" s="111" t="s">
        <v>520</v>
      </c>
      <c r="F1107" s="113">
        <v>7.0000000000000001E-3</v>
      </c>
      <c r="G1107" s="114">
        <v>16.809999999999999</v>
      </c>
      <c r="H1107" s="114">
        <v>0.11</v>
      </c>
      <c r="I1107" s="285">
        <f t="shared" si="136"/>
        <v>0.11767</v>
      </c>
    </row>
    <row r="1108" spans="1:9">
      <c r="A1108" s="104"/>
      <c r="B1108" s="104"/>
      <c r="C1108" s="104"/>
      <c r="D1108" s="104"/>
      <c r="E1108" s="104"/>
      <c r="F1108" s="105"/>
      <c r="G1108" s="106"/>
      <c r="H1108" s="107"/>
      <c r="I1108" s="285"/>
    </row>
    <row r="1109" spans="1:9">
      <c r="A1109" s="108"/>
      <c r="B1109" s="108"/>
      <c r="C1109" s="108"/>
      <c r="D1109" s="108"/>
      <c r="E1109" s="108"/>
      <c r="F1109" s="109"/>
      <c r="G1109" s="110"/>
      <c r="H1109" s="110"/>
      <c r="I1109" s="285"/>
    </row>
    <row r="1110" spans="1:9">
      <c r="A1110" s="97" t="s">
        <v>1445</v>
      </c>
      <c r="B1110" s="97" t="s">
        <v>418</v>
      </c>
      <c r="C1110" s="97" t="s">
        <v>419</v>
      </c>
      <c r="D1110" s="98" t="s">
        <v>420</v>
      </c>
      <c r="E1110" s="97" t="s">
        <v>421</v>
      </c>
      <c r="F1110" s="99" t="s">
        <v>422</v>
      </c>
      <c r="G1110" s="97" t="s">
        <v>423</v>
      </c>
      <c r="H1110" s="97" t="s">
        <v>424</v>
      </c>
      <c r="I1110" s="285"/>
    </row>
    <row r="1111" spans="1:9" ht="28.5">
      <c r="A1111" s="100" t="s">
        <v>425</v>
      </c>
      <c r="B1111" s="100" t="s">
        <v>786</v>
      </c>
      <c r="C1111" s="100" t="s">
        <v>431</v>
      </c>
      <c r="D1111" s="101" t="s">
        <v>119</v>
      </c>
      <c r="E1111" s="100" t="s">
        <v>451</v>
      </c>
      <c r="F1111" s="102">
        <v>1</v>
      </c>
      <c r="G1111" s="103">
        <v>35.39</v>
      </c>
      <c r="H1111" s="103">
        <v>35.39</v>
      </c>
      <c r="I1111" s="285">
        <f>SUM(I1112:I1117)</f>
        <v>35.400339000000002</v>
      </c>
    </row>
    <row r="1112" spans="1:9" ht="57">
      <c r="A1112" s="111" t="s">
        <v>434</v>
      </c>
      <c r="B1112" s="111" t="s">
        <v>787</v>
      </c>
      <c r="C1112" s="111" t="s">
        <v>431</v>
      </c>
      <c r="D1112" s="112" t="s">
        <v>788</v>
      </c>
      <c r="E1112" s="111" t="s">
        <v>468</v>
      </c>
      <c r="F1112" s="113">
        <v>2.93E-2</v>
      </c>
      <c r="G1112" s="114">
        <v>534.61</v>
      </c>
      <c r="H1112" s="114">
        <v>15.66</v>
      </c>
      <c r="I1112" s="285">
        <f t="shared" ref="I1112:I1115" si="137">F1112*G1112</f>
        <v>15.664073</v>
      </c>
    </row>
    <row r="1113" spans="1:9" ht="28.5">
      <c r="A1113" s="111" t="s">
        <v>434</v>
      </c>
      <c r="B1113" s="111" t="s">
        <v>521</v>
      </c>
      <c r="C1113" s="111" t="s">
        <v>431</v>
      </c>
      <c r="D1113" s="112" t="s">
        <v>522</v>
      </c>
      <c r="E1113" s="111" t="s">
        <v>520</v>
      </c>
      <c r="F1113" s="113">
        <v>0.4</v>
      </c>
      <c r="G1113" s="114">
        <v>23.1</v>
      </c>
      <c r="H1113" s="114">
        <v>9.24</v>
      </c>
      <c r="I1113" s="285">
        <f t="shared" si="137"/>
        <v>9.24</v>
      </c>
    </row>
    <row r="1114" spans="1:9" ht="28.5">
      <c r="A1114" s="111" t="s">
        <v>434</v>
      </c>
      <c r="B1114" s="111" t="s">
        <v>519</v>
      </c>
      <c r="C1114" s="111" t="s">
        <v>431</v>
      </c>
      <c r="D1114" s="112" t="s">
        <v>492</v>
      </c>
      <c r="E1114" s="111" t="s">
        <v>520</v>
      </c>
      <c r="F1114" s="113">
        <v>0.4</v>
      </c>
      <c r="G1114" s="114">
        <v>16.809999999999999</v>
      </c>
      <c r="H1114" s="114">
        <v>6.72</v>
      </c>
      <c r="I1114" s="285">
        <f t="shared" si="137"/>
        <v>6.7240000000000002</v>
      </c>
    </row>
    <row r="1115" spans="1:9" ht="28.5">
      <c r="A1115" s="115" t="s">
        <v>437</v>
      </c>
      <c r="B1115" s="115" t="s">
        <v>789</v>
      </c>
      <c r="C1115" s="115" t="s">
        <v>431</v>
      </c>
      <c r="D1115" s="116" t="s">
        <v>790</v>
      </c>
      <c r="E1115" s="115" t="s">
        <v>451</v>
      </c>
      <c r="F1115" s="117">
        <v>0.15809999999999999</v>
      </c>
      <c r="G1115" s="118">
        <v>23.86</v>
      </c>
      <c r="H1115" s="118">
        <v>3.77</v>
      </c>
      <c r="I1115" s="285">
        <f t="shared" si="137"/>
        <v>3.7722659999999997</v>
      </c>
    </row>
    <row r="1116" spans="1:9">
      <c r="A1116" s="104"/>
      <c r="B1116" s="104"/>
      <c r="C1116" s="104"/>
      <c r="D1116" s="104"/>
      <c r="E1116" s="104"/>
      <c r="F1116" s="105"/>
      <c r="G1116" s="106"/>
      <c r="H1116" s="107"/>
      <c r="I1116" s="285"/>
    </row>
    <row r="1117" spans="1:9">
      <c r="A1117" s="108"/>
      <c r="B1117" s="108"/>
      <c r="C1117" s="108"/>
      <c r="D1117" s="108"/>
      <c r="E1117" s="108"/>
      <c r="F1117" s="109"/>
      <c r="G1117" s="110"/>
      <c r="H1117" s="110"/>
      <c r="I1117" s="285"/>
    </row>
    <row r="1118" spans="1:9">
      <c r="A1118" s="97" t="s">
        <v>1446</v>
      </c>
      <c r="B1118" s="97" t="s">
        <v>418</v>
      </c>
      <c r="C1118" s="97" t="s">
        <v>419</v>
      </c>
      <c r="D1118" s="98" t="s">
        <v>420</v>
      </c>
      <c r="E1118" s="97" t="s">
        <v>421</v>
      </c>
      <c r="F1118" s="99" t="s">
        <v>422</v>
      </c>
      <c r="G1118" s="97" t="s">
        <v>423</v>
      </c>
      <c r="H1118" s="97" t="s">
        <v>424</v>
      </c>
      <c r="I1118" s="285"/>
    </row>
    <row r="1119" spans="1:9" ht="42.75">
      <c r="A1119" s="100" t="s">
        <v>425</v>
      </c>
      <c r="B1119" s="100" t="s">
        <v>792</v>
      </c>
      <c r="C1119" s="100" t="s">
        <v>427</v>
      </c>
      <c r="D1119" s="101" t="s">
        <v>122</v>
      </c>
      <c r="E1119" s="100" t="s">
        <v>451</v>
      </c>
      <c r="F1119" s="102">
        <v>1</v>
      </c>
      <c r="G1119" s="119" t="s">
        <v>793</v>
      </c>
      <c r="H1119" s="119" t="s">
        <v>793</v>
      </c>
      <c r="I1119" s="285">
        <f>SUM(I1120:I1125)</f>
        <v>58.217554349000004</v>
      </c>
    </row>
    <row r="1120" spans="1:9" ht="42.75">
      <c r="A1120" s="111" t="s">
        <v>434</v>
      </c>
      <c r="B1120" s="111" t="s">
        <v>794</v>
      </c>
      <c r="C1120" s="111" t="s">
        <v>427</v>
      </c>
      <c r="D1120" s="112" t="s">
        <v>795</v>
      </c>
      <c r="E1120" s="111" t="s">
        <v>451</v>
      </c>
      <c r="F1120" s="113">
        <v>1</v>
      </c>
      <c r="G1120" s="121" t="s">
        <v>796</v>
      </c>
      <c r="H1120" s="121" t="s">
        <v>796</v>
      </c>
      <c r="I1120" s="285">
        <f t="shared" ref="I1120:I1124" si="138">F1120*G1120</f>
        <v>4.8099999999999996</v>
      </c>
    </row>
    <row r="1121" spans="1:9" ht="28.5">
      <c r="A1121" s="111" t="s">
        <v>434</v>
      </c>
      <c r="B1121" s="111" t="s">
        <v>797</v>
      </c>
      <c r="C1121" s="111" t="s">
        <v>427</v>
      </c>
      <c r="D1121" s="112" t="s">
        <v>798</v>
      </c>
      <c r="E1121" s="111" t="s">
        <v>464</v>
      </c>
      <c r="F1121" s="113">
        <v>0.61111110000000002</v>
      </c>
      <c r="G1121" s="121" t="s">
        <v>799</v>
      </c>
      <c r="H1121" s="121" t="s">
        <v>800</v>
      </c>
      <c r="I1121" s="285">
        <f t="shared" si="138"/>
        <v>14.996666394</v>
      </c>
    </row>
    <row r="1122" spans="1:9" ht="28.5">
      <c r="A1122" s="111" t="s">
        <v>434</v>
      </c>
      <c r="B1122" s="111" t="s">
        <v>491</v>
      </c>
      <c r="C1122" s="111" t="s">
        <v>427</v>
      </c>
      <c r="D1122" s="112" t="s">
        <v>492</v>
      </c>
      <c r="E1122" s="111" t="s">
        <v>464</v>
      </c>
      <c r="F1122" s="113">
        <v>0.30555549999999998</v>
      </c>
      <c r="G1122" s="121" t="s">
        <v>493</v>
      </c>
      <c r="H1122" s="121" t="s">
        <v>801</v>
      </c>
      <c r="I1122" s="285">
        <f t="shared" si="138"/>
        <v>5.1363879549999991</v>
      </c>
    </row>
    <row r="1123" spans="1:9" ht="28.5">
      <c r="A1123" s="115" t="s">
        <v>437</v>
      </c>
      <c r="B1123" s="115" t="s">
        <v>802</v>
      </c>
      <c r="C1123" s="115" t="s">
        <v>427</v>
      </c>
      <c r="D1123" s="116" t="s">
        <v>803</v>
      </c>
      <c r="E1123" s="115" t="s">
        <v>476</v>
      </c>
      <c r="F1123" s="117">
        <v>4.7249999999999996</v>
      </c>
      <c r="G1123" s="120" t="s">
        <v>804</v>
      </c>
      <c r="H1123" s="120" t="s">
        <v>805</v>
      </c>
      <c r="I1123" s="285">
        <f t="shared" si="138"/>
        <v>2.5514999999999999</v>
      </c>
    </row>
    <row r="1124" spans="1:9" ht="28.5">
      <c r="A1124" s="115" t="s">
        <v>437</v>
      </c>
      <c r="B1124" s="115" t="s">
        <v>806</v>
      </c>
      <c r="C1124" s="115" t="s">
        <v>427</v>
      </c>
      <c r="D1124" s="116" t="s">
        <v>807</v>
      </c>
      <c r="E1124" s="115" t="s">
        <v>451</v>
      </c>
      <c r="F1124" s="117">
        <v>1.05</v>
      </c>
      <c r="G1124" s="120" t="s">
        <v>808</v>
      </c>
      <c r="H1124" s="120" t="s">
        <v>809</v>
      </c>
      <c r="I1124" s="285">
        <f t="shared" si="138"/>
        <v>30.723000000000003</v>
      </c>
    </row>
    <row r="1125" spans="1:9">
      <c r="A1125" s="104"/>
      <c r="B1125" s="104"/>
      <c r="C1125" s="104"/>
      <c r="D1125" s="104"/>
      <c r="E1125" s="104"/>
      <c r="F1125" s="105"/>
      <c r="G1125" s="106"/>
      <c r="H1125" s="107"/>
      <c r="I1125" s="285"/>
    </row>
    <row r="1126" spans="1:9">
      <c r="A1126" s="108"/>
      <c r="B1126" s="108"/>
      <c r="C1126" s="108"/>
      <c r="D1126" s="108"/>
      <c r="E1126" s="108"/>
      <c r="F1126" s="109"/>
      <c r="G1126" s="110"/>
      <c r="H1126" s="110"/>
      <c r="I1126" s="285"/>
    </row>
    <row r="1127" spans="1:9">
      <c r="A1127" s="92" t="s">
        <v>1447</v>
      </c>
      <c r="B1127" s="92"/>
      <c r="C1127" s="92"/>
      <c r="D1127" s="93" t="s">
        <v>374</v>
      </c>
      <c r="E1127" s="94"/>
      <c r="F1127" s="95"/>
      <c r="G1127" s="92"/>
      <c r="H1127" s="96"/>
      <c r="I1127" s="285"/>
    </row>
    <row r="1128" spans="1:9">
      <c r="A1128" s="97" t="s">
        <v>1448</v>
      </c>
      <c r="B1128" s="97" t="s">
        <v>418</v>
      </c>
      <c r="C1128" s="97" t="s">
        <v>419</v>
      </c>
      <c r="D1128" s="98" t="s">
        <v>420</v>
      </c>
      <c r="E1128" s="97" t="s">
        <v>421</v>
      </c>
      <c r="F1128" s="99" t="s">
        <v>422</v>
      </c>
      <c r="G1128" s="97" t="s">
        <v>423</v>
      </c>
      <c r="H1128" s="97" t="s">
        <v>424</v>
      </c>
      <c r="I1128" s="285"/>
    </row>
    <row r="1129" spans="1:9" ht="42.75">
      <c r="A1129" s="100" t="s">
        <v>425</v>
      </c>
      <c r="B1129" s="100" t="s">
        <v>822</v>
      </c>
      <c r="C1129" s="100" t="s">
        <v>431</v>
      </c>
      <c r="D1129" s="101" t="s">
        <v>376</v>
      </c>
      <c r="E1129" s="100" t="s">
        <v>451</v>
      </c>
      <c r="F1129" s="102">
        <v>1</v>
      </c>
      <c r="G1129" s="103">
        <v>9.33</v>
      </c>
      <c r="H1129" s="103">
        <v>9.33</v>
      </c>
      <c r="I1129" s="285">
        <f>SUM(I1130:I1135)</f>
        <v>9.3474730000000008</v>
      </c>
    </row>
    <row r="1130" spans="1:9" ht="28.5">
      <c r="A1130" s="111" t="s">
        <v>434</v>
      </c>
      <c r="B1130" s="111" t="s">
        <v>813</v>
      </c>
      <c r="C1130" s="111" t="s">
        <v>431</v>
      </c>
      <c r="D1130" s="112" t="s">
        <v>666</v>
      </c>
      <c r="E1130" s="111" t="s">
        <v>520</v>
      </c>
      <c r="F1130" s="113">
        <v>6.3500000000000001E-2</v>
      </c>
      <c r="G1130" s="114">
        <v>24.16</v>
      </c>
      <c r="H1130" s="114">
        <v>1.53</v>
      </c>
      <c r="I1130" s="285">
        <f t="shared" ref="I1130:I1132" si="139">F1130*G1130</f>
        <v>1.53416</v>
      </c>
    </row>
    <row r="1131" spans="1:9">
      <c r="A1131" s="115" t="s">
        <v>437</v>
      </c>
      <c r="B1131" s="115" t="s">
        <v>823</v>
      </c>
      <c r="C1131" s="115" t="s">
        <v>431</v>
      </c>
      <c r="D1131" s="116" t="s">
        <v>824</v>
      </c>
      <c r="E1131" s="115" t="s">
        <v>816</v>
      </c>
      <c r="F1131" s="117">
        <v>5.7500000000000002E-2</v>
      </c>
      <c r="G1131" s="118">
        <v>18.55</v>
      </c>
      <c r="H1131" s="118">
        <v>1.06</v>
      </c>
      <c r="I1131" s="285">
        <f t="shared" si="139"/>
        <v>1.0666250000000002</v>
      </c>
    </row>
    <row r="1132" spans="1:9">
      <c r="A1132" s="115" t="s">
        <v>437</v>
      </c>
      <c r="B1132" s="115" t="s">
        <v>825</v>
      </c>
      <c r="C1132" s="115" t="s">
        <v>431</v>
      </c>
      <c r="D1132" s="116" t="s">
        <v>826</v>
      </c>
      <c r="E1132" s="115" t="s">
        <v>816</v>
      </c>
      <c r="F1132" s="117">
        <v>0.1908</v>
      </c>
      <c r="G1132" s="118">
        <v>35.36</v>
      </c>
      <c r="H1132" s="118">
        <v>6.74</v>
      </c>
      <c r="I1132" s="285">
        <f t="shared" si="139"/>
        <v>6.7466879999999998</v>
      </c>
    </row>
    <row r="1133" spans="1:9">
      <c r="A1133" s="104"/>
      <c r="B1133" s="104"/>
      <c r="C1133" s="104"/>
      <c r="D1133" s="104"/>
      <c r="E1133" s="104"/>
      <c r="F1133" s="105"/>
      <c r="G1133" s="106"/>
      <c r="H1133" s="107"/>
      <c r="I1133" s="285"/>
    </row>
    <row r="1134" spans="1:9">
      <c r="A1134" s="108"/>
      <c r="B1134" s="108"/>
      <c r="C1134" s="108"/>
      <c r="D1134" s="108"/>
      <c r="E1134" s="108"/>
      <c r="F1134" s="109"/>
      <c r="G1134" s="110"/>
      <c r="H1134" s="110"/>
      <c r="I1134" s="285"/>
    </row>
    <row r="1135" spans="1:9">
      <c r="A1135" s="97" t="s">
        <v>1449</v>
      </c>
      <c r="B1135" s="97" t="s">
        <v>418</v>
      </c>
      <c r="C1135" s="97" t="s">
        <v>419</v>
      </c>
      <c r="D1135" s="98" t="s">
        <v>420</v>
      </c>
      <c r="E1135" s="97" t="s">
        <v>421</v>
      </c>
      <c r="F1135" s="99" t="s">
        <v>422</v>
      </c>
      <c r="G1135" s="97" t="s">
        <v>423</v>
      </c>
      <c r="H1135" s="97" t="s">
        <v>424</v>
      </c>
      <c r="I1135" s="285"/>
    </row>
    <row r="1136" spans="1:9" ht="42.75">
      <c r="A1136" s="100" t="s">
        <v>425</v>
      </c>
      <c r="B1136" s="100" t="s">
        <v>828</v>
      </c>
      <c r="C1136" s="100" t="s">
        <v>431</v>
      </c>
      <c r="D1136" s="101" t="s">
        <v>378</v>
      </c>
      <c r="E1136" s="100" t="s">
        <v>451</v>
      </c>
      <c r="F1136" s="102">
        <v>1</v>
      </c>
      <c r="G1136" s="103">
        <v>41.47</v>
      </c>
      <c r="H1136" s="103">
        <v>41.47</v>
      </c>
      <c r="I1136" s="285">
        <f>SUM(I1137:I1142)</f>
        <v>41.480377999999995</v>
      </c>
    </row>
    <row r="1137" spans="1:9" ht="28.5">
      <c r="A1137" s="111" t="s">
        <v>434</v>
      </c>
      <c r="B1137" s="111" t="s">
        <v>813</v>
      </c>
      <c r="C1137" s="111" t="s">
        <v>431</v>
      </c>
      <c r="D1137" s="112" t="s">
        <v>666</v>
      </c>
      <c r="E1137" s="111" t="s">
        <v>520</v>
      </c>
      <c r="F1137" s="113">
        <v>1.0530999999999999</v>
      </c>
      <c r="G1137" s="114">
        <v>24.16</v>
      </c>
      <c r="H1137" s="114">
        <v>25.44</v>
      </c>
      <c r="I1137" s="285">
        <f t="shared" ref="I1137:I1139" si="140">F1137*G1137</f>
        <v>25.442895999999998</v>
      </c>
    </row>
    <row r="1138" spans="1:9">
      <c r="A1138" s="115" t="s">
        <v>437</v>
      </c>
      <c r="B1138" s="115" t="s">
        <v>823</v>
      </c>
      <c r="C1138" s="115" t="s">
        <v>431</v>
      </c>
      <c r="D1138" s="116" t="s">
        <v>824</v>
      </c>
      <c r="E1138" s="115" t="s">
        <v>816</v>
      </c>
      <c r="F1138" s="117">
        <v>0.124</v>
      </c>
      <c r="G1138" s="118">
        <v>18.55</v>
      </c>
      <c r="H1138" s="118">
        <v>2.2999999999999998</v>
      </c>
      <c r="I1138" s="285">
        <f t="shared" si="140"/>
        <v>2.3002000000000002</v>
      </c>
    </row>
    <row r="1139" spans="1:9">
      <c r="A1139" s="115" t="s">
        <v>437</v>
      </c>
      <c r="B1139" s="115" t="s">
        <v>829</v>
      </c>
      <c r="C1139" s="115" t="s">
        <v>431</v>
      </c>
      <c r="D1139" s="116" t="s">
        <v>830</v>
      </c>
      <c r="E1139" s="115" t="s">
        <v>816</v>
      </c>
      <c r="F1139" s="117">
        <v>0.41339999999999999</v>
      </c>
      <c r="G1139" s="118">
        <v>33.229999999999997</v>
      </c>
      <c r="H1139" s="118">
        <v>13.73</v>
      </c>
      <c r="I1139" s="285">
        <f t="shared" si="140"/>
        <v>13.737281999999999</v>
      </c>
    </row>
    <row r="1140" spans="1:9">
      <c r="A1140" s="104"/>
      <c r="B1140" s="104"/>
      <c r="C1140" s="104"/>
      <c r="D1140" s="104"/>
      <c r="E1140" s="104"/>
      <c r="F1140" s="105"/>
      <c r="G1140" s="106"/>
      <c r="H1140" s="107"/>
      <c r="I1140" s="285"/>
    </row>
    <row r="1141" spans="1:9">
      <c r="A1141" s="108"/>
      <c r="B1141" s="108"/>
      <c r="C1141" s="108"/>
      <c r="D1141" s="108"/>
      <c r="E1141" s="108"/>
      <c r="F1141" s="109"/>
      <c r="G1141" s="110"/>
      <c r="H1141" s="110"/>
      <c r="I1141" s="285"/>
    </row>
    <row r="1142" spans="1:9">
      <c r="A1142" s="92" t="s">
        <v>1450</v>
      </c>
      <c r="B1142" s="92"/>
      <c r="C1142" s="92"/>
      <c r="D1142" s="93" t="s">
        <v>134</v>
      </c>
      <c r="E1142" s="94"/>
      <c r="F1142" s="95"/>
      <c r="G1142" s="92"/>
      <c r="H1142" s="96"/>
      <c r="I1142" s="285"/>
    </row>
    <row r="1143" spans="1:9">
      <c r="A1143" s="97" t="s">
        <v>1451</v>
      </c>
      <c r="B1143" s="97" t="s">
        <v>418</v>
      </c>
      <c r="C1143" s="97" t="s">
        <v>419</v>
      </c>
      <c r="D1143" s="98" t="s">
        <v>420</v>
      </c>
      <c r="E1143" s="97" t="s">
        <v>421</v>
      </c>
      <c r="F1143" s="99" t="s">
        <v>422</v>
      </c>
      <c r="G1143" s="97" t="s">
        <v>423</v>
      </c>
      <c r="H1143" s="97" t="s">
        <v>424</v>
      </c>
      <c r="I1143" s="285"/>
    </row>
    <row r="1144" spans="1:9" ht="28.5">
      <c r="A1144" s="100" t="s">
        <v>425</v>
      </c>
      <c r="B1144" s="100" t="s">
        <v>812</v>
      </c>
      <c r="C1144" s="100" t="s">
        <v>431</v>
      </c>
      <c r="D1144" s="101" t="s">
        <v>126</v>
      </c>
      <c r="E1144" s="100" t="s">
        <v>451</v>
      </c>
      <c r="F1144" s="102">
        <v>1</v>
      </c>
      <c r="G1144" s="103">
        <v>2.72</v>
      </c>
      <c r="H1144" s="103">
        <v>2.72</v>
      </c>
      <c r="I1144" s="285">
        <f>SUM(I1145:I1150)</f>
        <v>2.73278</v>
      </c>
    </row>
    <row r="1145" spans="1:9" ht="28.5">
      <c r="A1145" s="111" t="s">
        <v>434</v>
      </c>
      <c r="B1145" s="111" t="s">
        <v>519</v>
      </c>
      <c r="C1145" s="111" t="s">
        <v>431</v>
      </c>
      <c r="D1145" s="112" t="s">
        <v>492</v>
      </c>
      <c r="E1145" s="111" t="s">
        <v>520</v>
      </c>
      <c r="F1145" s="113">
        <v>1.4E-2</v>
      </c>
      <c r="G1145" s="114">
        <v>16.809999999999999</v>
      </c>
      <c r="H1145" s="114">
        <v>0.23</v>
      </c>
      <c r="I1145" s="285">
        <f t="shared" ref="I1145:I1147" si="141">F1145*G1145</f>
        <v>0.23533999999999999</v>
      </c>
    </row>
    <row r="1146" spans="1:9" ht="28.5">
      <c r="A1146" s="111" t="s">
        <v>434</v>
      </c>
      <c r="B1146" s="111" t="s">
        <v>813</v>
      </c>
      <c r="C1146" s="111" t="s">
        <v>431</v>
      </c>
      <c r="D1146" s="112" t="s">
        <v>666</v>
      </c>
      <c r="E1146" s="111" t="s">
        <v>520</v>
      </c>
      <c r="F1146" s="113">
        <v>3.9E-2</v>
      </c>
      <c r="G1146" s="114">
        <v>24.16</v>
      </c>
      <c r="H1146" s="114">
        <v>0.94</v>
      </c>
      <c r="I1146" s="285">
        <f t="shared" si="141"/>
        <v>0.94223999999999997</v>
      </c>
    </row>
    <row r="1147" spans="1:9">
      <c r="A1147" s="115" t="s">
        <v>437</v>
      </c>
      <c r="B1147" s="115" t="s">
        <v>814</v>
      </c>
      <c r="C1147" s="115" t="s">
        <v>431</v>
      </c>
      <c r="D1147" s="116" t="s">
        <v>815</v>
      </c>
      <c r="E1147" s="115" t="s">
        <v>816</v>
      </c>
      <c r="F1147" s="117">
        <v>0.16</v>
      </c>
      <c r="G1147" s="118">
        <v>9.7200000000000006</v>
      </c>
      <c r="H1147" s="118">
        <v>1.55</v>
      </c>
      <c r="I1147" s="285">
        <f t="shared" si="141"/>
        <v>1.5552000000000001</v>
      </c>
    </row>
    <row r="1148" spans="1:9">
      <c r="A1148" s="104"/>
      <c r="B1148" s="104"/>
      <c r="C1148" s="104"/>
      <c r="D1148" s="104"/>
      <c r="E1148" s="104"/>
      <c r="F1148" s="105"/>
      <c r="G1148" s="106"/>
      <c r="H1148" s="107"/>
      <c r="I1148" s="285"/>
    </row>
    <row r="1149" spans="1:9">
      <c r="A1149" s="108"/>
      <c r="B1149" s="108"/>
      <c r="C1149" s="108"/>
      <c r="D1149" s="108"/>
      <c r="E1149" s="108"/>
      <c r="F1149" s="109"/>
      <c r="G1149" s="110"/>
      <c r="H1149" s="110"/>
      <c r="I1149" s="285"/>
    </row>
    <row r="1150" spans="1:9">
      <c r="A1150" s="97" t="s">
        <v>1452</v>
      </c>
      <c r="B1150" s="97" t="s">
        <v>418</v>
      </c>
      <c r="C1150" s="97" t="s">
        <v>419</v>
      </c>
      <c r="D1150" s="98" t="s">
        <v>420</v>
      </c>
      <c r="E1150" s="97" t="s">
        <v>421</v>
      </c>
      <c r="F1150" s="99" t="s">
        <v>422</v>
      </c>
      <c r="G1150" s="97" t="s">
        <v>423</v>
      </c>
      <c r="H1150" s="97" t="s">
        <v>424</v>
      </c>
      <c r="I1150" s="285"/>
    </row>
    <row r="1151" spans="1:9" ht="28.5">
      <c r="A1151" s="100" t="s">
        <v>425</v>
      </c>
      <c r="B1151" s="100" t="s">
        <v>833</v>
      </c>
      <c r="C1151" s="100" t="s">
        <v>431</v>
      </c>
      <c r="D1151" s="101" t="s">
        <v>136</v>
      </c>
      <c r="E1151" s="100" t="s">
        <v>451</v>
      </c>
      <c r="F1151" s="102">
        <v>1</v>
      </c>
      <c r="G1151" s="103">
        <v>14.37</v>
      </c>
      <c r="H1151" s="103">
        <v>14.37</v>
      </c>
      <c r="I1151" s="285">
        <f>SUM(I1152:I1157)</f>
        <v>14.391099999999998</v>
      </c>
    </row>
    <row r="1152" spans="1:9" ht="28.5">
      <c r="A1152" s="111" t="s">
        <v>434</v>
      </c>
      <c r="B1152" s="111" t="s">
        <v>519</v>
      </c>
      <c r="C1152" s="111" t="s">
        <v>431</v>
      </c>
      <c r="D1152" s="112" t="s">
        <v>492</v>
      </c>
      <c r="E1152" s="111" t="s">
        <v>520</v>
      </c>
      <c r="F1152" s="113">
        <v>4.3999999999999997E-2</v>
      </c>
      <c r="G1152" s="114">
        <v>16.809999999999999</v>
      </c>
      <c r="H1152" s="114">
        <v>0.73</v>
      </c>
      <c r="I1152" s="285">
        <f t="shared" ref="I1152:I1154" si="142">F1152*G1152</f>
        <v>0.73963999999999985</v>
      </c>
    </row>
    <row r="1153" spans="1:9" ht="28.5">
      <c r="A1153" s="111" t="s">
        <v>434</v>
      </c>
      <c r="B1153" s="111" t="s">
        <v>813</v>
      </c>
      <c r="C1153" s="111" t="s">
        <v>431</v>
      </c>
      <c r="D1153" s="112" t="s">
        <v>666</v>
      </c>
      <c r="E1153" s="111" t="s">
        <v>520</v>
      </c>
      <c r="F1153" s="113">
        <v>0.17599999999999999</v>
      </c>
      <c r="G1153" s="114">
        <v>24.16</v>
      </c>
      <c r="H1153" s="114">
        <v>4.25</v>
      </c>
      <c r="I1153" s="285">
        <f t="shared" si="142"/>
        <v>4.2521599999999999</v>
      </c>
    </row>
    <row r="1154" spans="1:9" ht="28.5">
      <c r="A1154" s="115" t="s">
        <v>437</v>
      </c>
      <c r="B1154" s="115" t="s">
        <v>834</v>
      </c>
      <c r="C1154" s="115" t="s">
        <v>431</v>
      </c>
      <c r="D1154" s="116" t="s">
        <v>835</v>
      </c>
      <c r="E1154" s="115" t="s">
        <v>60</v>
      </c>
      <c r="F1154" s="117">
        <v>1.9379999999999999</v>
      </c>
      <c r="G1154" s="118">
        <v>4.8499999999999996</v>
      </c>
      <c r="H1154" s="118">
        <v>9.39</v>
      </c>
      <c r="I1154" s="285">
        <f t="shared" si="142"/>
        <v>9.3992999999999984</v>
      </c>
    </row>
    <row r="1155" spans="1:9">
      <c r="A1155" s="104"/>
      <c r="B1155" s="104"/>
      <c r="C1155" s="104"/>
      <c r="D1155" s="104"/>
      <c r="E1155" s="104"/>
      <c r="F1155" s="105"/>
      <c r="G1155" s="106"/>
      <c r="H1155" s="107"/>
      <c r="I1155" s="285"/>
    </row>
    <row r="1156" spans="1:9">
      <c r="A1156" s="108"/>
      <c r="B1156" s="108"/>
      <c r="C1156" s="108"/>
      <c r="D1156" s="108"/>
      <c r="E1156" s="108"/>
      <c r="F1156" s="109"/>
      <c r="G1156" s="110"/>
      <c r="H1156" s="110"/>
      <c r="I1156" s="285"/>
    </row>
    <row r="1157" spans="1:9">
      <c r="A1157" s="92" t="s">
        <v>1453</v>
      </c>
      <c r="B1157" s="92"/>
      <c r="C1157" s="92"/>
      <c r="D1157" s="93" t="s">
        <v>138</v>
      </c>
      <c r="E1157" s="94"/>
      <c r="F1157" s="95"/>
      <c r="G1157" s="92"/>
      <c r="H1157" s="96"/>
      <c r="I1157" s="285"/>
    </row>
    <row r="1158" spans="1:9">
      <c r="A1158" s="97" t="s">
        <v>1454</v>
      </c>
      <c r="B1158" s="97" t="s">
        <v>418</v>
      </c>
      <c r="C1158" s="97" t="s">
        <v>419</v>
      </c>
      <c r="D1158" s="98" t="s">
        <v>420</v>
      </c>
      <c r="E1158" s="97" t="s">
        <v>421</v>
      </c>
      <c r="F1158" s="99" t="s">
        <v>422</v>
      </c>
      <c r="G1158" s="97" t="s">
        <v>423</v>
      </c>
      <c r="H1158" s="97" t="s">
        <v>424</v>
      </c>
      <c r="I1158" s="285"/>
    </row>
    <row r="1159" spans="1:9" ht="42.75">
      <c r="A1159" s="100" t="s">
        <v>425</v>
      </c>
      <c r="B1159" s="100" t="s">
        <v>838</v>
      </c>
      <c r="C1159" s="100" t="s">
        <v>431</v>
      </c>
      <c r="D1159" s="101" t="s">
        <v>140</v>
      </c>
      <c r="E1159" s="100" t="s">
        <v>451</v>
      </c>
      <c r="F1159" s="102">
        <v>1</v>
      </c>
      <c r="G1159" s="103">
        <v>47.11</v>
      </c>
      <c r="H1159" s="103">
        <v>47.11</v>
      </c>
      <c r="I1159" s="285">
        <f>SUM(I1160:I1165)</f>
        <v>47.126199999999997</v>
      </c>
    </row>
    <row r="1160" spans="1:9" ht="28.5">
      <c r="A1160" s="111" t="s">
        <v>434</v>
      </c>
      <c r="B1160" s="111" t="s">
        <v>519</v>
      </c>
      <c r="C1160" s="111" t="s">
        <v>431</v>
      </c>
      <c r="D1160" s="112" t="s">
        <v>492</v>
      </c>
      <c r="E1160" s="111" t="s">
        <v>520</v>
      </c>
      <c r="F1160" s="113">
        <v>0.15</v>
      </c>
      <c r="G1160" s="114">
        <v>16.809999999999999</v>
      </c>
      <c r="H1160" s="114">
        <v>2.52</v>
      </c>
      <c r="I1160" s="285">
        <f t="shared" ref="I1160:I1164" si="143">F1160*G1160</f>
        <v>2.5214999999999996</v>
      </c>
    </row>
    <row r="1161" spans="1:9" ht="28.5">
      <c r="A1161" s="111" t="s">
        <v>434</v>
      </c>
      <c r="B1161" s="111" t="s">
        <v>839</v>
      </c>
      <c r="C1161" s="111" t="s">
        <v>431</v>
      </c>
      <c r="D1161" s="112" t="s">
        <v>840</v>
      </c>
      <c r="E1161" s="111" t="s">
        <v>520</v>
      </c>
      <c r="F1161" s="113">
        <v>0.26</v>
      </c>
      <c r="G1161" s="114">
        <v>24.54</v>
      </c>
      <c r="H1161" s="114">
        <v>6.38</v>
      </c>
      <c r="I1161" s="285">
        <f t="shared" si="143"/>
        <v>6.3803999999999998</v>
      </c>
    </row>
    <row r="1162" spans="1:9">
      <c r="A1162" s="115" t="s">
        <v>437</v>
      </c>
      <c r="B1162" s="115" t="s">
        <v>841</v>
      </c>
      <c r="C1162" s="115" t="s">
        <v>431</v>
      </c>
      <c r="D1162" s="116" t="s">
        <v>842</v>
      </c>
      <c r="E1162" s="115" t="s">
        <v>60</v>
      </c>
      <c r="F1162" s="117">
        <v>6.14</v>
      </c>
      <c r="G1162" s="118">
        <v>0.63</v>
      </c>
      <c r="H1162" s="118">
        <v>3.86</v>
      </c>
      <c r="I1162" s="285">
        <f t="shared" si="143"/>
        <v>3.8681999999999999</v>
      </c>
    </row>
    <row r="1163" spans="1:9" ht="28.5">
      <c r="A1163" s="115" t="s">
        <v>437</v>
      </c>
      <c r="B1163" s="115" t="s">
        <v>843</v>
      </c>
      <c r="C1163" s="115" t="s">
        <v>431</v>
      </c>
      <c r="D1163" s="116" t="s">
        <v>844</v>
      </c>
      <c r="E1163" s="115" t="s">
        <v>451</v>
      </c>
      <c r="F1163" s="117">
        <v>1.06</v>
      </c>
      <c r="G1163" s="118">
        <v>31.75</v>
      </c>
      <c r="H1163" s="118">
        <v>33.65</v>
      </c>
      <c r="I1163" s="285">
        <f t="shared" si="143"/>
        <v>33.655000000000001</v>
      </c>
    </row>
    <row r="1164" spans="1:9">
      <c r="A1164" s="115" t="s">
        <v>437</v>
      </c>
      <c r="B1164" s="115" t="s">
        <v>845</v>
      </c>
      <c r="C1164" s="115" t="s">
        <v>431</v>
      </c>
      <c r="D1164" s="116" t="s">
        <v>846</v>
      </c>
      <c r="E1164" s="115" t="s">
        <v>60</v>
      </c>
      <c r="F1164" s="117">
        <v>0.19</v>
      </c>
      <c r="G1164" s="118">
        <v>3.69</v>
      </c>
      <c r="H1164" s="118">
        <v>0.7</v>
      </c>
      <c r="I1164" s="285">
        <f t="shared" si="143"/>
        <v>0.70109999999999995</v>
      </c>
    </row>
    <row r="1165" spans="1:9">
      <c r="A1165" s="104"/>
      <c r="B1165" s="104"/>
      <c r="C1165" s="104"/>
      <c r="D1165" s="104"/>
      <c r="E1165" s="104"/>
      <c r="F1165" s="105"/>
      <c r="G1165" s="106"/>
      <c r="H1165" s="107"/>
      <c r="I1165" s="285"/>
    </row>
    <row r="1166" spans="1:9">
      <c r="A1166" s="108"/>
      <c r="B1166" s="108"/>
      <c r="C1166" s="108"/>
      <c r="D1166" s="108"/>
      <c r="E1166" s="108"/>
      <c r="F1166" s="109"/>
      <c r="G1166" s="110"/>
      <c r="H1166" s="110"/>
      <c r="I1166" s="285"/>
    </row>
    <row r="1167" spans="1:9">
      <c r="A1167" s="92" t="s">
        <v>1455</v>
      </c>
      <c r="B1167" s="92"/>
      <c r="C1167" s="92"/>
      <c r="D1167" s="93" t="s">
        <v>385</v>
      </c>
      <c r="E1167" s="94"/>
      <c r="F1167" s="95"/>
      <c r="G1167" s="92"/>
      <c r="H1167" s="96"/>
      <c r="I1167" s="285"/>
    </row>
    <row r="1168" spans="1:9">
      <c r="A1168" s="97" t="s">
        <v>1456</v>
      </c>
      <c r="B1168" s="97" t="s">
        <v>418</v>
      </c>
      <c r="C1168" s="97" t="s">
        <v>419</v>
      </c>
      <c r="D1168" s="98" t="s">
        <v>420</v>
      </c>
      <c r="E1168" s="97" t="s">
        <v>421</v>
      </c>
      <c r="F1168" s="99" t="s">
        <v>422</v>
      </c>
      <c r="G1168" s="97" t="s">
        <v>423</v>
      </c>
      <c r="H1168" s="97" t="s">
        <v>424</v>
      </c>
      <c r="I1168" s="285"/>
    </row>
    <row r="1169" spans="1:9" ht="28.5">
      <c r="A1169" s="100" t="s">
        <v>425</v>
      </c>
      <c r="B1169" s="100" t="s">
        <v>913</v>
      </c>
      <c r="C1169" s="100" t="s">
        <v>427</v>
      </c>
      <c r="D1169" s="101" t="s">
        <v>387</v>
      </c>
      <c r="E1169" s="100" t="s">
        <v>451</v>
      </c>
      <c r="F1169" s="102">
        <v>1</v>
      </c>
      <c r="G1169" s="119" t="s">
        <v>915</v>
      </c>
      <c r="H1169" s="119" t="s">
        <v>915</v>
      </c>
      <c r="I1169" s="285">
        <f>SUM(I1170:I1171)</f>
        <v>362.35</v>
      </c>
    </row>
    <row r="1170" spans="1:9" ht="28.5">
      <c r="A1170" s="111" t="s">
        <v>434</v>
      </c>
      <c r="B1170" s="111" t="s">
        <v>873</v>
      </c>
      <c r="C1170" s="111" t="s">
        <v>427</v>
      </c>
      <c r="D1170" s="112" t="s">
        <v>874</v>
      </c>
      <c r="E1170" s="111" t="s">
        <v>451</v>
      </c>
      <c r="F1170" s="113">
        <v>1</v>
      </c>
      <c r="G1170" s="121" t="s">
        <v>875</v>
      </c>
      <c r="H1170" s="121" t="s">
        <v>875</v>
      </c>
      <c r="I1170" s="285">
        <f t="shared" ref="I1170:I1177" si="144">F1170*G1170</f>
        <v>75.349999999999994</v>
      </c>
    </row>
    <row r="1171" spans="1:9" ht="28.5">
      <c r="A1171" s="115" t="s">
        <v>437</v>
      </c>
      <c r="B1171" s="115" t="s">
        <v>916</v>
      </c>
      <c r="C1171" s="115" t="s">
        <v>427</v>
      </c>
      <c r="D1171" s="116" t="s">
        <v>917</v>
      </c>
      <c r="E1171" s="115" t="s">
        <v>451</v>
      </c>
      <c r="F1171" s="117">
        <v>1</v>
      </c>
      <c r="G1171" s="120" t="s">
        <v>918</v>
      </c>
      <c r="H1171" s="120" t="s">
        <v>918</v>
      </c>
      <c r="I1171" s="285">
        <f t="shared" si="144"/>
        <v>287</v>
      </c>
    </row>
    <row r="1172" spans="1:9">
      <c r="A1172" s="104"/>
      <c r="B1172" s="104"/>
      <c r="C1172" s="104"/>
      <c r="D1172" s="104"/>
      <c r="E1172" s="104"/>
      <c r="F1172" s="105"/>
      <c r="G1172" s="106"/>
      <c r="H1172" s="107"/>
      <c r="I1172" s="285"/>
    </row>
    <row r="1173" spans="1:9">
      <c r="A1173" s="108"/>
      <c r="B1173" s="108"/>
      <c r="C1173" s="108"/>
      <c r="D1173" s="108"/>
      <c r="E1173" s="108"/>
      <c r="F1173" s="109"/>
      <c r="G1173" s="110"/>
      <c r="H1173" s="110"/>
      <c r="I1173" s="285"/>
    </row>
    <row r="1174" spans="1:9">
      <c r="A1174" s="97" t="s">
        <v>1457</v>
      </c>
      <c r="B1174" s="97" t="s">
        <v>418</v>
      </c>
      <c r="C1174" s="97" t="s">
        <v>419</v>
      </c>
      <c r="D1174" s="98" t="s">
        <v>420</v>
      </c>
      <c r="E1174" s="97" t="s">
        <v>421</v>
      </c>
      <c r="F1174" s="99" t="s">
        <v>422</v>
      </c>
      <c r="G1174" s="97" t="s">
        <v>423</v>
      </c>
      <c r="H1174" s="97" t="s">
        <v>424</v>
      </c>
      <c r="I1174" s="285"/>
    </row>
    <row r="1175" spans="1:9" ht="42.75">
      <c r="A1175" s="100" t="s">
        <v>425</v>
      </c>
      <c r="B1175" s="100" t="s">
        <v>1458</v>
      </c>
      <c r="C1175" s="100" t="s">
        <v>622</v>
      </c>
      <c r="D1175" s="101" t="s">
        <v>390</v>
      </c>
      <c r="E1175" s="100" t="s">
        <v>1459</v>
      </c>
      <c r="F1175" s="102">
        <v>1</v>
      </c>
      <c r="G1175" s="103">
        <v>72.94</v>
      </c>
      <c r="H1175" s="103">
        <v>72.94</v>
      </c>
      <c r="I1175" s="285">
        <f>SUM(I1176:I1181)</f>
        <v>72.94</v>
      </c>
    </row>
    <row r="1176" spans="1:9" ht="28.5">
      <c r="A1176" s="111" t="s">
        <v>434</v>
      </c>
      <c r="B1176" s="111" t="s">
        <v>521</v>
      </c>
      <c r="C1176" s="111" t="s">
        <v>431</v>
      </c>
      <c r="D1176" s="112" t="s">
        <v>522</v>
      </c>
      <c r="E1176" s="111" t="s">
        <v>520</v>
      </c>
      <c r="F1176" s="113">
        <v>0.6</v>
      </c>
      <c r="G1176" s="114">
        <v>23.1</v>
      </c>
      <c r="H1176" s="114">
        <v>13.86</v>
      </c>
      <c r="I1176" s="285">
        <f t="shared" si="144"/>
        <v>13.860000000000001</v>
      </c>
    </row>
    <row r="1177" spans="1:9" ht="28.5">
      <c r="A1177" s="115" t="s">
        <v>437</v>
      </c>
      <c r="B1177" s="115" t="s">
        <v>1460</v>
      </c>
      <c r="C1177" s="115" t="s">
        <v>431</v>
      </c>
      <c r="D1177" s="116" t="s">
        <v>1461</v>
      </c>
      <c r="E1177" s="115" t="s">
        <v>60</v>
      </c>
      <c r="F1177" s="117">
        <v>2.8</v>
      </c>
      <c r="G1177" s="118">
        <v>21.1</v>
      </c>
      <c r="H1177" s="118">
        <v>59.08</v>
      </c>
      <c r="I1177" s="285">
        <f t="shared" si="144"/>
        <v>59.08</v>
      </c>
    </row>
    <row r="1178" spans="1:9">
      <c r="A1178" s="104"/>
      <c r="B1178" s="104"/>
      <c r="C1178" s="104"/>
      <c r="D1178" s="104"/>
      <c r="E1178" s="104"/>
      <c r="F1178" s="105"/>
      <c r="G1178" s="106"/>
      <c r="H1178" s="107"/>
      <c r="I1178" s="285"/>
    </row>
    <row r="1179" spans="1:9">
      <c r="A1179" s="108"/>
      <c r="B1179" s="108"/>
      <c r="C1179" s="108"/>
      <c r="D1179" s="108"/>
      <c r="E1179" s="108"/>
      <c r="F1179" s="109"/>
      <c r="G1179" s="110"/>
      <c r="H1179" s="110"/>
      <c r="I1179" s="285"/>
    </row>
    <row r="1180" spans="1:9">
      <c r="A1180" s="92" t="s">
        <v>1462</v>
      </c>
      <c r="B1180" s="92"/>
      <c r="C1180" s="92"/>
      <c r="D1180" s="93" t="s">
        <v>190</v>
      </c>
      <c r="E1180" s="94"/>
      <c r="F1180" s="95"/>
      <c r="G1180" s="92"/>
      <c r="H1180" s="96"/>
      <c r="I1180" s="285"/>
    </row>
    <row r="1181" spans="1:9">
      <c r="A1181" s="97" t="s">
        <v>1463</v>
      </c>
      <c r="B1181" s="97" t="s">
        <v>418</v>
      </c>
      <c r="C1181" s="97" t="s">
        <v>419</v>
      </c>
      <c r="D1181" s="98" t="s">
        <v>420</v>
      </c>
      <c r="E1181" s="97" t="s">
        <v>421</v>
      </c>
      <c r="F1181" s="99" t="s">
        <v>422</v>
      </c>
      <c r="G1181" s="97" t="s">
        <v>423</v>
      </c>
      <c r="H1181" s="97" t="s">
        <v>424</v>
      </c>
      <c r="I1181" s="285"/>
    </row>
    <row r="1182" spans="1:9" ht="28.5">
      <c r="A1182" s="100" t="s">
        <v>425</v>
      </c>
      <c r="B1182" s="100" t="s">
        <v>1012</v>
      </c>
      <c r="C1182" s="100" t="s">
        <v>431</v>
      </c>
      <c r="D1182" s="101" t="s">
        <v>196</v>
      </c>
      <c r="E1182" s="100" t="s">
        <v>8</v>
      </c>
      <c r="F1182" s="102">
        <v>1</v>
      </c>
      <c r="G1182" s="103">
        <v>45.41</v>
      </c>
      <c r="H1182" s="103">
        <v>45.41</v>
      </c>
      <c r="I1182" s="285">
        <f>SUM(I1183:I1188)</f>
        <v>45.435435999999996</v>
      </c>
    </row>
    <row r="1183" spans="1:9" ht="28.5">
      <c r="A1183" s="111" t="s">
        <v>434</v>
      </c>
      <c r="B1183" s="111" t="s">
        <v>1013</v>
      </c>
      <c r="C1183" s="111" t="s">
        <v>431</v>
      </c>
      <c r="D1183" s="112" t="s">
        <v>1014</v>
      </c>
      <c r="E1183" s="111" t="s">
        <v>520</v>
      </c>
      <c r="F1183" s="113">
        <v>0.1525</v>
      </c>
      <c r="G1183" s="114">
        <v>22.49</v>
      </c>
      <c r="H1183" s="114">
        <v>3.42</v>
      </c>
      <c r="I1183" s="285">
        <f t="shared" ref="I1183:I1186" si="145">F1183*G1183</f>
        <v>3.4297249999999995</v>
      </c>
    </row>
    <row r="1184" spans="1:9" ht="28.5">
      <c r="A1184" s="111" t="s">
        <v>434</v>
      </c>
      <c r="B1184" s="111" t="s">
        <v>519</v>
      </c>
      <c r="C1184" s="111" t="s">
        <v>431</v>
      </c>
      <c r="D1184" s="112" t="s">
        <v>492</v>
      </c>
      <c r="E1184" s="111" t="s">
        <v>520</v>
      </c>
      <c r="F1184" s="113">
        <v>4.8099999999999997E-2</v>
      </c>
      <c r="G1184" s="114">
        <v>16.809999999999999</v>
      </c>
      <c r="H1184" s="114">
        <v>0.8</v>
      </c>
      <c r="I1184" s="285">
        <f t="shared" si="145"/>
        <v>0.80856099999999986</v>
      </c>
    </row>
    <row r="1185" spans="1:9">
      <c r="A1185" s="115" t="s">
        <v>437</v>
      </c>
      <c r="B1185" s="115" t="s">
        <v>1015</v>
      </c>
      <c r="C1185" s="115" t="s">
        <v>431</v>
      </c>
      <c r="D1185" s="116" t="s">
        <v>1016</v>
      </c>
      <c r="E1185" s="115" t="s">
        <v>8</v>
      </c>
      <c r="F1185" s="117">
        <v>2.1000000000000001E-2</v>
      </c>
      <c r="G1185" s="118">
        <v>4.1500000000000004</v>
      </c>
      <c r="H1185" s="118">
        <v>0.08</v>
      </c>
      <c r="I1185" s="285">
        <f t="shared" si="145"/>
        <v>8.7150000000000019E-2</v>
      </c>
    </row>
    <row r="1186" spans="1:9" ht="42.75">
      <c r="A1186" s="115" t="s">
        <v>437</v>
      </c>
      <c r="B1186" s="115" t="s">
        <v>1017</v>
      </c>
      <c r="C1186" s="115" t="s">
        <v>431</v>
      </c>
      <c r="D1186" s="116" t="s">
        <v>1018</v>
      </c>
      <c r="E1186" s="115" t="s">
        <v>8</v>
      </c>
      <c r="F1186" s="117">
        <v>1</v>
      </c>
      <c r="G1186" s="118">
        <v>41.11</v>
      </c>
      <c r="H1186" s="118">
        <v>41.11</v>
      </c>
      <c r="I1186" s="285">
        <f t="shared" si="145"/>
        <v>41.11</v>
      </c>
    </row>
    <row r="1187" spans="1:9">
      <c r="A1187" s="104"/>
      <c r="B1187" s="104"/>
      <c r="C1187" s="104"/>
      <c r="D1187" s="104"/>
      <c r="E1187" s="104"/>
      <c r="F1187" s="105"/>
      <c r="G1187" s="106"/>
      <c r="H1187" s="107"/>
      <c r="I1187" s="285"/>
    </row>
    <row r="1188" spans="1:9">
      <c r="A1188" s="108"/>
      <c r="B1188" s="108"/>
      <c r="C1188" s="108"/>
      <c r="D1188" s="108"/>
      <c r="E1188" s="108"/>
      <c r="F1188" s="109"/>
      <c r="G1188" s="110"/>
      <c r="H1188" s="110"/>
      <c r="I1188" s="285"/>
    </row>
    <row r="1189" spans="1:9">
      <c r="A1189" s="97" t="s">
        <v>1464</v>
      </c>
      <c r="B1189" s="97" t="s">
        <v>418</v>
      </c>
      <c r="C1189" s="97" t="s">
        <v>419</v>
      </c>
      <c r="D1189" s="98" t="s">
        <v>420</v>
      </c>
      <c r="E1189" s="97" t="s">
        <v>421</v>
      </c>
      <c r="F1189" s="99" t="s">
        <v>422</v>
      </c>
      <c r="G1189" s="97" t="s">
        <v>423</v>
      </c>
      <c r="H1189" s="97" t="s">
        <v>424</v>
      </c>
      <c r="I1189" s="285"/>
    </row>
    <row r="1190" spans="1:9" ht="42.75">
      <c r="A1190" s="100" t="s">
        <v>425</v>
      </c>
      <c r="B1190" s="100" t="s">
        <v>1214</v>
      </c>
      <c r="C1190" s="100" t="s">
        <v>431</v>
      </c>
      <c r="D1190" s="101" t="s">
        <v>258</v>
      </c>
      <c r="E1190" s="100" t="s">
        <v>8</v>
      </c>
      <c r="F1190" s="102">
        <v>1</v>
      </c>
      <c r="G1190" s="103">
        <v>16.07</v>
      </c>
      <c r="H1190" s="103">
        <v>16.07</v>
      </c>
      <c r="I1190" s="285">
        <f>SUM(I1191:I1196)</f>
        <v>16.087879999999998</v>
      </c>
    </row>
    <row r="1191" spans="1:9" ht="28.5">
      <c r="A1191" s="111" t="s">
        <v>434</v>
      </c>
      <c r="B1191" s="111" t="s">
        <v>1025</v>
      </c>
      <c r="C1191" s="111" t="s">
        <v>431</v>
      </c>
      <c r="D1191" s="112" t="s">
        <v>1026</v>
      </c>
      <c r="E1191" s="111" t="s">
        <v>520</v>
      </c>
      <c r="F1191" s="113">
        <v>0.15</v>
      </c>
      <c r="G1191" s="114">
        <v>18.010000000000002</v>
      </c>
      <c r="H1191" s="114">
        <v>2.7</v>
      </c>
      <c r="I1191" s="285">
        <f t="shared" ref="I1191:I1196" si="146">F1191*G1191</f>
        <v>2.7015000000000002</v>
      </c>
    </row>
    <row r="1192" spans="1:9" ht="28.5">
      <c r="A1192" s="111" t="s">
        <v>434</v>
      </c>
      <c r="B1192" s="111" t="s">
        <v>1013</v>
      </c>
      <c r="C1192" s="111" t="s">
        <v>431</v>
      </c>
      <c r="D1192" s="112" t="s">
        <v>1014</v>
      </c>
      <c r="E1192" s="111" t="s">
        <v>520</v>
      </c>
      <c r="F1192" s="113">
        <v>0.15</v>
      </c>
      <c r="G1192" s="114">
        <v>22.49</v>
      </c>
      <c r="H1192" s="114">
        <v>3.37</v>
      </c>
      <c r="I1192" s="285">
        <f t="shared" si="146"/>
        <v>3.3734999999999995</v>
      </c>
    </row>
    <row r="1193" spans="1:9">
      <c r="A1193" s="115" t="s">
        <v>437</v>
      </c>
      <c r="B1193" s="115" t="s">
        <v>1027</v>
      </c>
      <c r="C1193" s="115" t="s">
        <v>431</v>
      </c>
      <c r="D1193" s="116" t="s">
        <v>1028</v>
      </c>
      <c r="E1193" s="115" t="s">
        <v>8</v>
      </c>
      <c r="F1193" s="117">
        <v>7.0000000000000001E-3</v>
      </c>
      <c r="G1193" s="118">
        <v>55.4</v>
      </c>
      <c r="H1193" s="118">
        <v>0.38</v>
      </c>
      <c r="I1193" s="285">
        <f t="shared" si="146"/>
        <v>0.38779999999999998</v>
      </c>
    </row>
    <row r="1194" spans="1:9">
      <c r="A1194" s="115" t="s">
        <v>437</v>
      </c>
      <c r="B1194" s="115" t="s">
        <v>1029</v>
      </c>
      <c r="C1194" s="115" t="s">
        <v>431</v>
      </c>
      <c r="D1194" s="116" t="s">
        <v>1030</v>
      </c>
      <c r="E1194" s="115" t="s">
        <v>8</v>
      </c>
      <c r="F1194" s="117">
        <v>0.05</v>
      </c>
      <c r="G1194" s="118">
        <v>2.06</v>
      </c>
      <c r="H1194" s="118">
        <v>0.1</v>
      </c>
      <c r="I1194" s="285">
        <f t="shared" si="146"/>
        <v>0.10300000000000001</v>
      </c>
    </row>
    <row r="1195" spans="1:9" ht="28.5">
      <c r="A1195" s="115" t="s">
        <v>437</v>
      </c>
      <c r="B1195" s="115" t="s">
        <v>1215</v>
      </c>
      <c r="C1195" s="115" t="s">
        <v>431</v>
      </c>
      <c r="D1195" s="116" t="s">
        <v>1216</v>
      </c>
      <c r="E1195" s="115" t="s">
        <v>8</v>
      </c>
      <c r="F1195" s="117">
        <v>1</v>
      </c>
      <c r="G1195" s="118">
        <v>9.02</v>
      </c>
      <c r="H1195" s="118">
        <v>9.02</v>
      </c>
      <c r="I1195" s="285">
        <f t="shared" si="146"/>
        <v>9.02</v>
      </c>
    </row>
    <row r="1196" spans="1:9" ht="28.5">
      <c r="A1196" s="115" t="s">
        <v>437</v>
      </c>
      <c r="B1196" s="115" t="s">
        <v>1031</v>
      </c>
      <c r="C1196" s="115" t="s">
        <v>431</v>
      </c>
      <c r="D1196" s="116" t="s">
        <v>1032</v>
      </c>
      <c r="E1196" s="115" t="s">
        <v>8</v>
      </c>
      <c r="F1196" s="117">
        <v>8.0000000000000002E-3</v>
      </c>
      <c r="G1196" s="118">
        <v>62.76</v>
      </c>
      <c r="H1196" s="118">
        <v>0.5</v>
      </c>
      <c r="I1196" s="285">
        <f t="shared" si="146"/>
        <v>0.50207999999999997</v>
      </c>
    </row>
    <row r="1197" spans="1:9">
      <c r="A1197" s="104"/>
      <c r="B1197" s="104"/>
      <c r="C1197" s="104"/>
      <c r="D1197" s="104"/>
      <c r="E1197" s="104"/>
      <c r="F1197" s="105"/>
      <c r="G1197" s="106"/>
      <c r="H1197" s="107"/>
      <c r="I1197" s="285"/>
    </row>
    <row r="1198" spans="1:9">
      <c r="A1198" s="108"/>
      <c r="B1198" s="108"/>
      <c r="C1198" s="108"/>
      <c r="D1198" s="108"/>
      <c r="E1198" s="108"/>
      <c r="F1198" s="109"/>
      <c r="G1198" s="110"/>
      <c r="H1198" s="110"/>
      <c r="I1198" s="285"/>
    </row>
    <row r="1199" spans="1:9">
      <c r="A1199" s="97" t="s">
        <v>1465</v>
      </c>
      <c r="B1199" s="97" t="s">
        <v>418</v>
      </c>
      <c r="C1199" s="97" t="s">
        <v>419</v>
      </c>
      <c r="D1199" s="98" t="s">
        <v>420</v>
      </c>
      <c r="E1199" s="97" t="s">
        <v>421</v>
      </c>
      <c r="F1199" s="99" t="s">
        <v>422</v>
      </c>
      <c r="G1199" s="97" t="s">
        <v>423</v>
      </c>
      <c r="H1199" s="97" t="s">
        <v>424</v>
      </c>
      <c r="I1199" s="285"/>
    </row>
    <row r="1200" spans="1:9" ht="42.75">
      <c r="A1200" s="100" t="s">
        <v>425</v>
      </c>
      <c r="B1200" s="100" t="s">
        <v>1241</v>
      </c>
      <c r="C1200" s="100" t="s">
        <v>431</v>
      </c>
      <c r="D1200" s="101" t="s">
        <v>271</v>
      </c>
      <c r="E1200" s="100" t="s">
        <v>31</v>
      </c>
      <c r="F1200" s="102">
        <v>1</v>
      </c>
      <c r="G1200" s="103">
        <v>20.99</v>
      </c>
      <c r="H1200" s="103">
        <v>20.99</v>
      </c>
      <c r="I1200" s="285">
        <f>SUM(I1201:I1206)</f>
        <v>21.012160000000002</v>
      </c>
    </row>
    <row r="1201" spans="1:9" ht="28.5">
      <c r="A1201" s="111" t="s">
        <v>434</v>
      </c>
      <c r="B1201" s="111" t="s">
        <v>1025</v>
      </c>
      <c r="C1201" s="111" t="s">
        <v>431</v>
      </c>
      <c r="D1201" s="112" t="s">
        <v>1026</v>
      </c>
      <c r="E1201" s="111" t="s">
        <v>520</v>
      </c>
      <c r="F1201" s="113">
        <v>0.36899999999999999</v>
      </c>
      <c r="G1201" s="114">
        <v>18.010000000000002</v>
      </c>
      <c r="H1201" s="114">
        <v>6.64</v>
      </c>
      <c r="I1201" s="285">
        <f t="shared" ref="I1201:I1204" si="147">F1201*G1201</f>
        <v>6.6456900000000001</v>
      </c>
    </row>
    <row r="1202" spans="1:9" ht="28.5">
      <c r="A1202" s="111" t="s">
        <v>434</v>
      </c>
      <c r="B1202" s="111" t="s">
        <v>1013</v>
      </c>
      <c r="C1202" s="111" t="s">
        <v>431</v>
      </c>
      <c r="D1202" s="112" t="s">
        <v>1014</v>
      </c>
      <c r="E1202" s="111" t="s">
        <v>520</v>
      </c>
      <c r="F1202" s="113">
        <v>0.36899999999999999</v>
      </c>
      <c r="G1202" s="114">
        <v>22.49</v>
      </c>
      <c r="H1202" s="114">
        <v>8.2899999999999991</v>
      </c>
      <c r="I1202" s="285">
        <f t="shared" si="147"/>
        <v>8.2988099999999996</v>
      </c>
    </row>
    <row r="1203" spans="1:9">
      <c r="A1203" s="115" t="s">
        <v>437</v>
      </c>
      <c r="B1203" s="115" t="s">
        <v>1029</v>
      </c>
      <c r="C1203" s="115" t="s">
        <v>431</v>
      </c>
      <c r="D1203" s="116" t="s">
        <v>1030</v>
      </c>
      <c r="E1203" s="115" t="s">
        <v>8</v>
      </c>
      <c r="F1203" s="117">
        <v>0.123</v>
      </c>
      <c r="G1203" s="118">
        <v>2.06</v>
      </c>
      <c r="H1203" s="118">
        <v>0.25</v>
      </c>
      <c r="I1203" s="285">
        <f t="shared" si="147"/>
        <v>0.25337999999999999</v>
      </c>
    </row>
    <row r="1204" spans="1:9">
      <c r="A1204" s="115" t="s">
        <v>437</v>
      </c>
      <c r="B1204" s="115" t="s">
        <v>1242</v>
      </c>
      <c r="C1204" s="115" t="s">
        <v>431</v>
      </c>
      <c r="D1204" s="116" t="s">
        <v>1243</v>
      </c>
      <c r="E1204" s="115" t="s">
        <v>31</v>
      </c>
      <c r="F1204" s="117">
        <v>1.0609999999999999</v>
      </c>
      <c r="G1204" s="118">
        <v>5.48</v>
      </c>
      <c r="H1204" s="118">
        <v>5.81</v>
      </c>
      <c r="I1204" s="285">
        <f t="shared" si="147"/>
        <v>5.8142800000000001</v>
      </c>
    </row>
    <row r="1205" spans="1:9">
      <c r="A1205" s="104"/>
      <c r="B1205" s="104"/>
      <c r="C1205" s="104"/>
      <c r="D1205" s="104"/>
      <c r="E1205" s="104"/>
      <c r="F1205" s="105"/>
      <c r="G1205" s="106"/>
      <c r="H1205" s="107"/>
      <c r="I1205" s="285"/>
    </row>
    <row r="1206" spans="1:9">
      <c r="A1206" s="108"/>
      <c r="B1206" s="108"/>
      <c r="C1206" s="108"/>
      <c r="D1206" s="108"/>
      <c r="E1206" s="108"/>
      <c r="F1206" s="109"/>
      <c r="G1206" s="110"/>
      <c r="H1206" s="110"/>
      <c r="I1206" s="285"/>
    </row>
    <row r="1207" spans="1:9">
      <c r="A1207" s="97" t="s">
        <v>1466</v>
      </c>
      <c r="B1207" s="97" t="s">
        <v>418</v>
      </c>
      <c r="C1207" s="97" t="s">
        <v>419</v>
      </c>
      <c r="D1207" s="98" t="s">
        <v>420</v>
      </c>
      <c r="E1207" s="97" t="s">
        <v>421</v>
      </c>
      <c r="F1207" s="99" t="s">
        <v>422</v>
      </c>
      <c r="G1207" s="97" t="s">
        <v>423</v>
      </c>
      <c r="H1207" s="97" t="s">
        <v>424</v>
      </c>
      <c r="I1207" s="285"/>
    </row>
    <row r="1208" spans="1:9" ht="42.75">
      <c r="A1208" s="100" t="s">
        <v>425</v>
      </c>
      <c r="B1208" s="100" t="s">
        <v>1225</v>
      </c>
      <c r="C1208" s="100" t="s">
        <v>431</v>
      </c>
      <c r="D1208" s="101" t="s">
        <v>263</v>
      </c>
      <c r="E1208" s="100" t="s">
        <v>8</v>
      </c>
      <c r="F1208" s="102">
        <v>1</v>
      </c>
      <c r="G1208" s="103">
        <v>8.1300000000000008</v>
      </c>
      <c r="H1208" s="103">
        <v>8.1300000000000008</v>
      </c>
      <c r="I1208" s="285">
        <f>SUM(I1209:I1214)</f>
        <v>8.1478799999999989</v>
      </c>
    </row>
    <row r="1209" spans="1:9" ht="28.5">
      <c r="A1209" s="111" t="s">
        <v>434</v>
      </c>
      <c r="B1209" s="111" t="s">
        <v>1025</v>
      </c>
      <c r="C1209" s="111" t="s">
        <v>431</v>
      </c>
      <c r="D1209" s="112" t="s">
        <v>1026</v>
      </c>
      <c r="E1209" s="111" t="s">
        <v>520</v>
      </c>
      <c r="F1209" s="113">
        <v>0.15</v>
      </c>
      <c r="G1209" s="114">
        <v>18.010000000000002</v>
      </c>
      <c r="H1209" s="114">
        <v>2.7</v>
      </c>
      <c r="I1209" s="285">
        <f t="shared" ref="I1209:I1214" si="148">F1209*G1209</f>
        <v>2.7015000000000002</v>
      </c>
    </row>
    <row r="1210" spans="1:9" ht="28.5">
      <c r="A1210" s="111" t="s">
        <v>434</v>
      </c>
      <c r="B1210" s="111" t="s">
        <v>1013</v>
      </c>
      <c r="C1210" s="111" t="s">
        <v>431</v>
      </c>
      <c r="D1210" s="112" t="s">
        <v>1014</v>
      </c>
      <c r="E1210" s="111" t="s">
        <v>520</v>
      </c>
      <c r="F1210" s="113">
        <v>0.15</v>
      </c>
      <c r="G1210" s="114">
        <v>22.49</v>
      </c>
      <c r="H1210" s="114">
        <v>3.37</v>
      </c>
      <c r="I1210" s="285">
        <f t="shared" si="148"/>
        <v>3.3734999999999995</v>
      </c>
    </row>
    <row r="1211" spans="1:9">
      <c r="A1211" s="115" t="s">
        <v>437</v>
      </c>
      <c r="B1211" s="115" t="s">
        <v>1027</v>
      </c>
      <c r="C1211" s="115" t="s">
        <v>431</v>
      </c>
      <c r="D1211" s="116" t="s">
        <v>1028</v>
      </c>
      <c r="E1211" s="115" t="s">
        <v>8</v>
      </c>
      <c r="F1211" s="117">
        <v>7.0000000000000001E-3</v>
      </c>
      <c r="G1211" s="118">
        <v>55.4</v>
      </c>
      <c r="H1211" s="118">
        <v>0.38</v>
      </c>
      <c r="I1211" s="285">
        <f t="shared" si="148"/>
        <v>0.38779999999999998</v>
      </c>
    </row>
    <row r="1212" spans="1:9">
      <c r="A1212" s="115" t="s">
        <v>437</v>
      </c>
      <c r="B1212" s="115" t="s">
        <v>1029</v>
      </c>
      <c r="C1212" s="115" t="s">
        <v>431</v>
      </c>
      <c r="D1212" s="116" t="s">
        <v>1030</v>
      </c>
      <c r="E1212" s="115" t="s">
        <v>8</v>
      </c>
      <c r="F1212" s="117">
        <v>0.05</v>
      </c>
      <c r="G1212" s="118">
        <v>2.06</v>
      </c>
      <c r="H1212" s="118">
        <v>0.1</v>
      </c>
      <c r="I1212" s="285">
        <f t="shared" si="148"/>
        <v>0.10300000000000001</v>
      </c>
    </row>
    <row r="1213" spans="1:9" ht="28.5">
      <c r="A1213" s="115" t="s">
        <v>437</v>
      </c>
      <c r="B1213" s="115" t="s">
        <v>1226</v>
      </c>
      <c r="C1213" s="115" t="s">
        <v>431</v>
      </c>
      <c r="D1213" s="116" t="s">
        <v>1227</v>
      </c>
      <c r="E1213" s="115" t="s">
        <v>8</v>
      </c>
      <c r="F1213" s="117">
        <v>1</v>
      </c>
      <c r="G1213" s="118">
        <v>1.08</v>
      </c>
      <c r="H1213" s="118">
        <v>1.08</v>
      </c>
      <c r="I1213" s="285">
        <f t="shared" si="148"/>
        <v>1.08</v>
      </c>
    </row>
    <row r="1214" spans="1:9" ht="28.5">
      <c r="A1214" s="115" t="s">
        <v>437</v>
      </c>
      <c r="B1214" s="115" t="s">
        <v>1031</v>
      </c>
      <c r="C1214" s="115" t="s">
        <v>431</v>
      </c>
      <c r="D1214" s="116" t="s">
        <v>1032</v>
      </c>
      <c r="E1214" s="115" t="s">
        <v>8</v>
      </c>
      <c r="F1214" s="117">
        <v>8.0000000000000002E-3</v>
      </c>
      <c r="G1214" s="118">
        <v>62.76</v>
      </c>
      <c r="H1214" s="118">
        <v>0.5</v>
      </c>
      <c r="I1214" s="285">
        <f t="shared" si="148"/>
        <v>0.50207999999999997</v>
      </c>
    </row>
    <row r="1215" spans="1:9">
      <c r="A1215" s="104"/>
      <c r="B1215" s="104"/>
      <c r="C1215" s="104"/>
      <c r="D1215" s="104"/>
      <c r="E1215" s="104"/>
      <c r="F1215" s="105"/>
      <c r="G1215" s="106"/>
      <c r="H1215" s="107"/>
      <c r="I1215" s="285"/>
    </row>
    <row r="1216" spans="1:9">
      <c r="A1216" s="108"/>
      <c r="B1216" s="108"/>
      <c r="C1216" s="108"/>
      <c r="D1216" s="108"/>
      <c r="E1216" s="108"/>
      <c r="F1216" s="109"/>
      <c r="G1216" s="110"/>
      <c r="H1216" s="110"/>
      <c r="I1216" s="285"/>
    </row>
    <row r="1217" spans="1:18">
      <c r="A1217" s="97" t="s">
        <v>1467</v>
      </c>
      <c r="B1217" s="97" t="s">
        <v>418</v>
      </c>
      <c r="C1217" s="97" t="s">
        <v>419</v>
      </c>
      <c r="D1217" s="98" t="s">
        <v>420</v>
      </c>
      <c r="E1217" s="97" t="s">
        <v>421</v>
      </c>
      <c r="F1217" s="99" t="s">
        <v>422</v>
      </c>
      <c r="G1217" s="97" t="s">
        <v>423</v>
      </c>
      <c r="H1217" s="97" t="s">
        <v>424</v>
      </c>
      <c r="I1217" s="285"/>
    </row>
    <row r="1218" spans="1:18" ht="28.5">
      <c r="A1218" s="100" t="s">
        <v>425</v>
      </c>
      <c r="B1218" s="100" t="s">
        <v>1229</v>
      </c>
      <c r="C1218" s="100" t="s">
        <v>431</v>
      </c>
      <c r="D1218" s="101" t="s">
        <v>265</v>
      </c>
      <c r="E1218" s="100" t="s">
        <v>8</v>
      </c>
      <c r="F1218" s="102">
        <v>1</v>
      </c>
      <c r="G1218" s="103">
        <v>11.42</v>
      </c>
      <c r="H1218" s="103">
        <v>11.42</v>
      </c>
      <c r="I1218" s="285">
        <f>SUM(I1219:I1224)</f>
        <v>11.447020000000004</v>
      </c>
    </row>
    <row r="1219" spans="1:18" ht="28.5">
      <c r="A1219" s="111" t="s">
        <v>434</v>
      </c>
      <c r="B1219" s="111" t="s">
        <v>1025</v>
      </c>
      <c r="C1219" s="111" t="s">
        <v>431</v>
      </c>
      <c r="D1219" s="112" t="s">
        <v>1026</v>
      </c>
      <c r="E1219" s="111" t="s">
        <v>520</v>
      </c>
      <c r="F1219" s="113">
        <v>0.2</v>
      </c>
      <c r="G1219" s="114">
        <v>18.010000000000002</v>
      </c>
      <c r="H1219" s="114">
        <v>3.6</v>
      </c>
      <c r="I1219" s="285">
        <f t="shared" ref="I1219:I1224" si="149">F1219*G1219</f>
        <v>3.6020000000000003</v>
      </c>
    </row>
    <row r="1220" spans="1:18" ht="28.5">
      <c r="A1220" s="111" t="s">
        <v>434</v>
      </c>
      <c r="B1220" s="111" t="s">
        <v>1013</v>
      </c>
      <c r="C1220" s="111" t="s">
        <v>431</v>
      </c>
      <c r="D1220" s="112" t="s">
        <v>1014</v>
      </c>
      <c r="E1220" s="111" t="s">
        <v>520</v>
      </c>
      <c r="F1220" s="113">
        <v>0.2</v>
      </c>
      <c r="G1220" s="114">
        <v>22.49</v>
      </c>
      <c r="H1220" s="114">
        <v>4.49</v>
      </c>
      <c r="I1220" s="285">
        <f t="shared" si="149"/>
        <v>4.4980000000000002</v>
      </c>
    </row>
    <row r="1221" spans="1:18">
      <c r="A1221" s="115" t="s">
        <v>437</v>
      </c>
      <c r="B1221" s="115" t="s">
        <v>1027</v>
      </c>
      <c r="C1221" s="115" t="s">
        <v>431</v>
      </c>
      <c r="D1221" s="116" t="s">
        <v>1028</v>
      </c>
      <c r="E1221" s="115" t="s">
        <v>8</v>
      </c>
      <c r="F1221" s="117">
        <v>1.0999999999999999E-2</v>
      </c>
      <c r="G1221" s="118">
        <v>55.4</v>
      </c>
      <c r="H1221" s="118">
        <v>0.6</v>
      </c>
      <c r="I1221" s="285">
        <f t="shared" si="149"/>
        <v>0.60939999999999994</v>
      </c>
    </row>
    <row r="1222" spans="1:18">
      <c r="A1222" s="115" t="s">
        <v>437</v>
      </c>
      <c r="B1222" s="115" t="s">
        <v>1029</v>
      </c>
      <c r="C1222" s="115" t="s">
        <v>431</v>
      </c>
      <c r="D1222" s="116" t="s">
        <v>1030</v>
      </c>
      <c r="E1222" s="115" t="s">
        <v>8</v>
      </c>
      <c r="F1222" s="117">
        <v>7.4999999999999997E-2</v>
      </c>
      <c r="G1222" s="118">
        <v>2.06</v>
      </c>
      <c r="H1222" s="118">
        <v>0.15</v>
      </c>
      <c r="I1222" s="285">
        <f t="shared" si="149"/>
        <v>0.1545</v>
      </c>
    </row>
    <row r="1223" spans="1:18" ht="28.5">
      <c r="A1223" s="115" t="s">
        <v>437</v>
      </c>
      <c r="B1223" s="115" t="s">
        <v>1031</v>
      </c>
      <c r="C1223" s="115" t="s">
        <v>431</v>
      </c>
      <c r="D1223" s="116" t="s">
        <v>1032</v>
      </c>
      <c r="E1223" s="115" t="s">
        <v>8</v>
      </c>
      <c r="F1223" s="117">
        <v>1.2E-2</v>
      </c>
      <c r="G1223" s="118">
        <v>62.76</v>
      </c>
      <c r="H1223" s="118">
        <v>0.75</v>
      </c>
      <c r="I1223" s="285">
        <f t="shared" si="149"/>
        <v>0.75312000000000001</v>
      </c>
    </row>
    <row r="1224" spans="1:18" ht="28.5">
      <c r="A1224" s="115" t="s">
        <v>437</v>
      </c>
      <c r="B1224" s="115" t="s">
        <v>1230</v>
      </c>
      <c r="C1224" s="115" t="s">
        <v>431</v>
      </c>
      <c r="D1224" s="116" t="s">
        <v>1231</v>
      </c>
      <c r="E1224" s="115" t="s">
        <v>8</v>
      </c>
      <c r="F1224" s="117">
        <v>1</v>
      </c>
      <c r="G1224" s="118">
        <v>1.83</v>
      </c>
      <c r="H1224" s="118">
        <v>1.83</v>
      </c>
      <c r="I1224" s="285">
        <f t="shared" si="149"/>
        <v>1.83</v>
      </c>
    </row>
    <row r="1225" spans="1:18">
      <c r="A1225" s="104"/>
      <c r="B1225" s="104"/>
      <c r="C1225" s="104"/>
      <c r="D1225" s="104"/>
      <c r="E1225" s="104"/>
      <c r="F1225" s="105"/>
      <c r="G1225" s="106"/>
      <c r="H1225" s="107"/>
      <c r="I1225" s="285"/>
    </row>
    <row r="1226" spans="1:18">
      <c r="A1226" s="108"/>
      <c r="B1226" s="108"/>
      <c r="C1226" s="108"/>
      <c r="D1226" s="108"/>
      <c r="E1226" s="108"/>
      <c r="F1226" s="109"/>
      <c r="G1226" s="110"/>
      <c r="H1226" s="110"/>
      <c r="I1226" s="285"/>
    </row>
    <row r="1227" spans="1:18">
      <c r="A1227" s="97" t="s">
        <v>1468</v>
      </c>
      <c r="B1227" s="97" t="s">
        <v>418</v>
      </c>
      <c r="C1227" s="97" t="s">
        <v>419</v>
      </c>
      <c r="D1227" s="98" t="s">
        <v>420</v>
      </c>
      <c r="E1227" s="97" t="s">
        <v>421</v>
      </c>
      <c r="F1227" s="99" t="s">
        <v>422</v>
      </c>
      <c r="G1227" s="97" t="s">
        <v>423</v>
      </c>
      <c r="H1227" s="97" t="s">
        <v>424</v>
      </c>
      <c r="I1227" s="285"/>
    </row>
    <row r="1228" spans="1:18" ht="28.5">
      <c r="A1228" s="100" t="s">
        <v>425</v>
      </c>
      <c r="B1228" s="100" t="s">
        <v>1079</v>
      </c>
      <c r="C1228" s="100" t="s">
        <v>427</v>
      </c>
      <c r="D1228" s="101" t="s">
        <v>209</v>
      </c>
      <c r="E1228" s="100" t="s">
        <v>8</v>
      </c>
      <c r="F1228" s="102">
        <v>1</v>
      </c>
      <c r="G1228" s="119">
        <v>22.78</v>
      </c>
      <c r="H1228" s="119">
        <v>22.78</v>
      </c>
      <c r="I1228" s="285">
        <f>SUM(I1229:I1234)</f>
        <v>22.799690000000002</v>
      </c>
      <c r="J1228" s="100" t="s">
        <v>425</v>
      </c>
      <c r="K1228" s="100" t="s">
        <v>1079</v>
      </c>
      <c r="L1228" s="100" t="s">
        <v>427</v>
      </c>
      <c r="M1228" s="101" t="s">
        <v>209</v>
      </c>
      <c r="N1228" s="100" t="s">
        <v>8</v>
      </c>
      <c r="O1228" s="102">
        <v>1</v>
      </c>
      <c r="P1228" s="119" t="s">
        <v>1080</v>
      </c>
      <c r="Q1228" s="119" t="s">
        <v>1080</v>
      </c>
      <c r="R1228" s="285">
        <f>SUM(R1229:R1234)</f>
        <v>46.408649999999994</v>
      </c>
    </row>
    <row r="1229" spans="1:18" ht="28.5">
      <c r="A1229" s="111" t="s">
        <v>434</v>
      </c>
      <c r="B1229" s="111" t="s">
        <v>981</v>
      </c>
      <c r="C1229" s="111" t="s">
        <v>427</v>
      </c>
      <c r="D1229" s="112" t="s">
        <v>982</v>
      </c>
      <c r="E1229" s="111" t="s">
        <v>1576</v>
      </c>
      <c r="F1229" s="113">
        <v>0.4</v>
      </c>
      <c r="G1229" s="121">
        <v>22.49</v>
      </c>
      <c r="H1229" s="121">
        <v>8.99</v>
      </c>
      <c r="I1229" s="285">
        <f t="shared" ref="I1229:I1233" si="150">F1229*G1229</f>
        <v>8.9960000000000004</v>
      </c>
      <c r="J1229" s="111" t="s">
        <v>434</v>
      </c>
      <c r="K1229" s="111" t="s">
        <v>977</v>
      </c>
      <c r="L1229" s="111" t="s">
        <v>427</v>
      </c>
      <c r="M1229" s="112" t="s">
        <v>978</v>
      </c>
      <c r="N1229" s="111" t="s">
        <v>464</v>
      </c>
      <c r="O1229" s="113">
        <v>0.4</v>
      </c>
      <c r="P1229" s="121" t="s">
        <v>979</v>
      </c>
      <c r="Q1229" s="121" t="s">
        <v>1081</v>
      </c>
      <c r="R1229" s="285">
        <f t="shared" ref="R1229:R1233" si="151">O1229*P1229</f>
        <v>8.9960000000000004</v>
      </c>
    </row>
    <row r="1230" spans="1:18" ht="28.5">
      <c r="A1230" s="111" t="s">
        <v>434</v>
      </c>
      <c r="B1230" s="111" t="s">
        <v>977</v>
      </c>
      <c r="C1230" s="111" t="s">
        <v>427</v>
      </c>
      <c r="D1230" s="112" t="s">
        <v>978</v>
      </c>
      <c r="E1230" s="111" t="s">
        <v>1576</v>
      </c>
      <c r="F1230" s="113">
        <v>0.4</v>
      </c>
      <c r="G1230" s="121">
        <v>17.18</v>
      </c>
      <c r="H1230" s="121">
        <v>6.87</v>
      </c>
      <c r="I1230" s="285">
        <f t="shared" si="150"/>
        <v>6.8719999999999999</v>
      </c>
      <c r="J1230" s="111" t="s">
        <v>434</v>
      </c>
      <c r="K1230" s="111" t="s">
        <v>981</v>
      </c>
      <c r="L1230" s="111" t="s">
        <v>427</v>
      </c>
      <c r="M1230" s="112" t="s">
        <v>982</v>
      </c>
      <c r="N1230" s="111" t="s">
        <v>464</v>
      </c>
      <c r="O1230" s="113">
        <v>0.4</v>
      </c>
      <c r="P1230" s="121" t="s">
        <v>983</v>
      </c>
      <c r="Q1230" s="121" t="s">
        <v>1082</v>
      </c>
      <c r="R1230" s="285">
        <f t="shared" si="151"/>
        <v>6.8719999999999999</v>
      </c>
    </row>
    <row r="1231" spans="1:18" ht="42.75">
      <c r="A1231" s="115" t="s">
        <v>437</v>
      </c>
      <c r="B1231" s="115" t="s">
        <v>1083</v>
      </c>
      <c r="C1231" s="115" t="s">
        <v>427</v>
      </c>
      <c r="D1231" s="116" t="s">
        <v>1084</v>
      </c>
      <c r="E1231" s="115" t="s">
        <v>476</v>
      </c>
      <c r="F1231" s="117">
        <v>0.01</v>
      </c>
      <c r="G1231" s="120">
        <v>59.19</v>
      </c>
      <c r="H1231" s="120">
        <v>0.59</v>
      </c>
      <c r="I1231" s="285">
        <f t="shared" si="150"/>
        <v>0.59189999999999998</v>
      </c>
      <c r="J1231" s="115" t="s">
        <v>437</v>
      </c>
      <c r="K1231" s="115" t="s">
        <v>1083</v>
      </c>
      <c r="L1231" s="115" t="s">
        <v>427</v>
      </c>
      <c r="M1231" s="116" t="s">
        <v>1084</v>
      </c>
      <c r="N1231" s="115" t="s">
        <v>476</v>
      </c>
      <c r="O1231" s="117">
        <v>0.01</v>
      </c>
      <c r="P1231" s="120" t="s">
        <v>1085</v>
      </c>
      <c r="Q1231" s="120" t="s">
        <v>1086</v>
      </c>
      <c r="R1231" s="285">
        <f t="shared" si="151"/>
        <v>0.59189999999999998</v>
      </c>
    </row>
    <row r="1232" spans="1:18" ht="28.5">
      <c r="A1232" s="274" t="s">
        <v>437</v>
      </c>
      <c r="B1232" s="274" t="s">
        <v>1091</v>
      </c>
      <c r="C1232" s="274" t="s">
        <v>427</v>
      </c>
      <c r="D1232" s="275" t="s">
        <v>1092</v>
      </c>
      <c r="E1232" s="274" t="s">
        <v>671</v>
      </c>
      <c r="F1232" s="276">
        <v>3.0000000000000001E-3</v>
      </c>
      <c r="G1232" s="277">
        <v>29.93</v>
      </c>
      <c r="H1232" s="120">
        <v>0.08</v>
      </c>
      <c r="I1232" s="285">
        <f t="shared" si="150"/>
        <v>8.9789999999999995E-2</v>
      </c>
      <c r="J1232" s="271" t="s">
        <v>437</v>
      </c>
      <c r="K1232" s="271" t="s">
        <v>1087</v>
      </c>
      <c r="L1232" s="271" t="s">
        <v>427</v>
      </c>
      <c r="M1232" s="272" t="s">
        <v>1088</v>
      </c>
      <c r="N1232" s="271" t="s">
        <v>542</v>
      </c>
      <c r="O1232" s="273">
        <v>1</v>
      </c>
      <c r="P1232" s="270" t="s">
        <v>1089</v>
      </c>
      <c r="Q1232" s="120" t="s">
        <v>1090</v>
      </c>
      <c r="R1232" s="285">
        <f t="shared" si="151"/>
        <v>29.93</v>
      </c>
    </row>
    <row r="1233" spans="1:18" ht="28.5">
      <c r="A1233" s="274" t="s">
        <v>437</v>
      </c>
      <c r="B1233" s="274" t="s">
        <v>1087</v>
      </c>
      <c r="C1233" s="274" t="s">
        <v>427</v>
      </c>
      <c r="D1233" s="275" t="s">
        <v>1088</v>
      </c>
      <c r="E1233" s="274" t="s">
        <v>542</v>
      </c>
      <c r="F1233" s="276">
        <v>1</v>
      </c>
      <c r="G1233" s="277">
        <v>6.25</v>
      </c>
      <c r="H1233" s="120">
        <v>6.25</v>
      </c>
      <c r="I1233" s="285">
        <f t="shared" si="150"/>
        <v>6.25</v>
      </c>
      <c r="J1233" s="271" t="s">
        <v>437</v>
      </c>
      <c r="K1233" s="271" t="s">
        <v>1091</v>
      </c>
      <c r="L1233" s="271" t="s">
        <v>427</v>
      </c>
      <c r="M1233" s="272" t="s">
        <v>1092</v>
      </c>
      <c r="N1233" s="271" t="s">
        <v>671</v>
      </c>
      <c r="O1233" s="273">
        <v>3.0000000000000001E-3</v>
      </c>
      <c r="P1233" s="270" t="s">
        <v>1093</v>
      </c>
      <c r="Q1233" s="120">
        <v>0.08</v>
      </c>
      <c r="R1233" s="285">
        <f t="shared" si="151"/>
        <v>1.8749999999999999E-2</v>
      </c>
    </row>
    <row r="1234" spans="1:18">
      <c r="A1234" s="104"/>
      <c r="B1234" s="104"/>
      <c r="C1234" s="104"/>
      <c r="D1234" s="104"/>
      <c r="E1234" s="104"/>
      <c r="F1234" s="105"/>
      <c r="G1234" s="106"/>
      <c r="H1234" s="107"/>
      <c r="I1234" s="285"/>
    </row>
    <row r="1235" spans="1:18">
      <c r="A1235" s="108"/>
      <c r="B1235" s="108"/>
      <c r="C1235" s="108"/>
      <c r="D1235" s="108"/>
      <c r="E1235" s="108"/>
      <c r="F1235" s="109"/>
      <c r="G1235" s="110"/>
      <c r="H1235" s="110"/>
      <c r="I1235" s="285"/>
    </row>
    <row r="1236" spans="1:18">
      <c r="A1236" s="97" t="s">
        <v>1469</v>
      </c>
      <c r="B1236" s="97" t="s">
        <v>418</v>
      </c>
      <c r="C1236" s="97" t="s">
        <v>419</v>
      </c>
      <c r="D1236" s="98" t="s">
        <v>420</v>
      </c>
      <c r="E1236" s="97" t="s">
        <v>421</v>
      </c>
      <c r="F1236" s="99" t="s">
        <v>422</v>
      </c>
      <c r="G1236" s="97" t="s">
        <v>423</v>
      </c>
      <c r="H1236" s="97" t="s">
        <v>424</v>
      </c>
      <c r="I1236" s="285"/>
    </row>
    <row r="1237" spans="1:18" ht="42.75">
      <c r="A1237" s="100" t="s">
        <v>425</v>
      </c>
      <c r="B1237" s="100" t="s">
        <v>1036</v>
      </c>
      <c r="C1237" s="100" t="s">
        <v>431</v>
      </c>
      <c r="D1237" s="101" t="s">
        <v>203</v>
      </c>
      <c r="E1237" s="100" t="s">
        <v>31</v>
      </c>
      <c r="F1237" s="102">
        <v>1</v>
      </c>
      <c r="G1237" s="103">
        <v>19.23</v>
      </c>
      <c r="H1237" s="103">
        <v>19.23</v>
      </c>
      <c r="I1237" s="285">
        <f>SUM(I1238:I1243)</f>
        <v>19.2545</v>
      </c>
    </row>
    <row r="1238" spans="1:18" ht="28.5">
      <c r="A1238" s="111" t="s">
        <v>434</v>
      </c>
      <c r="B1238" s="111" t="s">
        <v>1025</v>
      </c>
      <c r="C1238" s="111" t="s">
        <v>431</v>
      </c>
      <c r="D1238" s="112" t="s">
        <v>1026</v>
      </c>
      <c r="E1238" s="111" t="s">
        <v>520</v>
      </c>
      <c r="F1238" s="113">
        <v>0.3</v>
      </c>
      <c r="G1238" s="114">
        <v>18.010000000000002</v>
      </c>
      <c r="H1238" s="114">
        <v>5.4</v>
      </c>
      <c r="I1238" s="285">
        <f t="shared" ref="I1238:I1242" si="152">F1238*G1238</f>
        <v>5.4030000000000005</v>
      </c>
    </row>
    <row r="1239" spans="1:18" ht="28.5">
      <c r="A1239" s="111" t="s">
        <v>434</v>
      </c>
      <c r="B1239" s="111" t="s">
        <v>1013</v>
      </c>
      <c r="C1239" s="111" t="s">
        <v>431</v>
      </c>
      <c r="D1239" s="112" t="s">
        <v>1014</v>
      </c>
      <c r="E1239" s="111" t="s">
        <v>520</v>
      </c>
      <c r="F1239" s="113">
        <v>0.3</v>
      </c>
      <c r="G1239" s="114">
        <v>22.49</v>
      </c>
      <c r="H1239" s="114">
        <v>6.74</v>
      </c>
      <c r="I1239" s="285">
        <f t="shared" si="152"/>
        <v>6.746999999999999</v>
      </c>
    </row>
    <row r="1240" spans="1:18">
      <c r="A1240" s="115" t="s">
        <v>437</v>
      </c>
      <c r="B1240" s="115" t="s">
        <v>1029</v>
      </c>
      <c r="C1240" s="115" t="s">
        <v>431</v>
      </c>
      <c r="D1240" s="116" t="s">
        <v>1030</v>
      </c>
      <c r="E1240" s="115" t="s">
        <v>8</v>
      </c>
      <c r="F1240" s="117">
        <v>0.1</v>
      </c>
      <c r="G1240" s="118">
        <v>2.06</v>
      </c>
      <c r="H1240" s="118">
        <v>0.2</v>
      </c>
      <c r="I1240" s="285">
        <f t="shared" si="152"/>
        <v>0.20600000000000002</v>
      </c>
    </row>
    <row r="1241" spans="1:18" ht="28.5">
      <c r="A1241" s="115" t="s">
        <v>437</v>
      </c>
      <c r="B1241" s="115" t="s">
        <v>1037</v>
      </c>
      <c r="C1241" s="115" t="s">
        <v>431</v>
      </c>
      <c r="D1241" s="116" t="s">
        <v>1038</v>
      </c>
      <c r="E1241" s="115" t="s">
        <v>31</v>
      </c>
      <c r="F1241" s="117">
        <v>1.05</v>
      </c>
      <c r="G1241" s="118">
        <v>6.57</v>
      </c>
      <c r="H1241" s="118">
        <v>6.89</v>
      </c>
      <c r="I1241" s="285">
        <f t="shared" si="152"/>
        <v>6.8985000000000003</v>
      </c>
    </row>
    <row r="1242" spans="1:18">
      <c r="A1242" s="104"/>
      <c r="B1242" s="104"/>
      <c r="C1242" s="104"/>
      <c r="D1242" s="104"/>
      <c r="E1242" s="104"/>
      <c r="F1242" s="105"/>
      <c r="G1242" s="106"/>
      <c r="H1242" s="107"/>
      <c r="I1242" s="285">
        <f t="shared" si="152"/>
        <v>0</v>
      </c>
    </row>
    <row r="1243" spans="1:18">
      <c r="A1243" s="108"/>
      <c r="B1243" s="108"/>
      <c r="C1243" s="108"/>
      <c r="D1243" s="108"/>
      <c r="E1243" s="108"/>
      <c r="F1243" s="109"/>
      <c r="G1243" s="110"/>
      <c r="H1243" s="110"/>
      <c r="I1243" s="285"/>
    </row>
    <row r="1244" spans="1:18">
      <c r="A1244" s="97" t="s">
        <v>1470</v>
      </c>
      <c r="B1244" s="97" t="s">
        <v>418</v>
      </c>
      <c r="C1244" s="97" t="s">
        <v>419</v>
      </c>
      <c r="D1244" s="98" t="s">
        <v>420</v>
      </c>
      <c r="E1244" s="97" t="s">
        <v>421</v>
      </c>
      <c r="F1244" s="99" t="s">
        <v>422</v>
      </c>
      <c r="G1244" s="97" t="s">
        <v>423</v>
      </c>
      <c r="H1244" s="97" t="s">
        <v>424</v>
      </c>
      <c r="I1244" s="285"/>
    </row>
    <row r="1245" spans="1:18" ht="28.5">
      <c r="A1245" s="100" t="s">
        <v>425</v>
      </c>
      <c r="B1245" s="100" t="s">
        <v>1162</v>
      </c>
      <c r="C1245" s="100" t="s">
        <v>431</v>
      </c>
      <c r="D1245" s="101" t="s">
        <v>234</v>
      </c>
      <c r="E1245" s="100" t="s">
        <v>8</v>
      </c>
      <c r="F1245" s="102">
        <v>1</v>
      </c>
      <c r="G1245" s="103">
        <v>6.87</v>
      </c>
      <c r="H1245" s="103">
        <v>6.87</v>
      </c>
      <c r="I1245" s="285">
        <f>SUM(I1246:I1251)</f>
        <v>6.8931200000000015</v>
      </c>
    </row>
    <row r="1246" spans="1:18" ht="28.5">
      <c r="A1246" s="111" t="s">
        <v>434</v>
      </c>
      <c r="B1246" s="111" t="s">
        <v>1025</v>
      </c>
      <c r="C1246" s="111" t="s">
        <v>431</v>
      </c>
      <c r="D1246" s="112" t="s">
        <v>1026</v>
      </c>
      <c r="E1246" s="111" t="s">
        <v>520</v>
      </c>
      <c r="F1246" s="113">
        <v>0.1</v>
      </c>
      <c r="G1246" s="114">
        <v>18.010000000000002</v>
      </c>
      <c r="H1246" s="114">
        <v>1.8</v>
      </c>
      <c r="I1246" s="285">
        <f t="shared" ref="I1246:I1251" si="153">F1246*G1246</f>
        <v>1.8010000000000002</v>
      </c>
    </row>
    <row r="1247" spans="1:18" ht="28.5">
      <c r="A1247" s="111" t="s">
        <v>434</v>
      </c>
      <c r="B1247" s="111" t="s">
        <v>1013</v>
      </c>
      <c r="C1247" s="111" t="s">
        <v>431</v>
      </c>
      <c r="D1247" s="112" t="s">
        <v>1014</v>
      </c>
      <c r="E1247" s="111" t="s">
        <v>520</v>
      </c>
      <c r="F1247" s="113">
        <v>0.1</v>
      </c>
      <c r="G1247" s="114">
        <v>22.49</v>
      </c>
      <c r="H1247" s="114">
        <v>2.2400000000000002</v>
      </c>
      <c r="I1247" s="285">
        <f t="shared" si="153"/>
        <v>2.2490000000000001</v>
      </c>
    </row>
    <row r="1248" spans="1:18">
      <c r="A1248" s="115" t="s">
        <v>437</v>
      </c>
      <c r="B1248" s="115" t="s">
        <v>1027</v>
      </c>
      <c r="C1248" s="115" t="s">
        <v>431</v>
      </c>
      <c r="D1248" s="116" t="s">
        <v>1028</v>
      </c>
      <c r="E1248" s="115" t="s">
        <v>8</v>
      </c>
      <c r="F1248" s="117">
        <v>9.9000000000000008E-3</v>
      </c>
      <c r="G1248" s="118">
        <v>55.4</v>
      </c>
      <c r="H1248" s="118">
        <v>0.54</v>
      </c>
      <c r="I1248" s="285">
        <f t="shared" si="153"/>
        <v>0.54846000000000006</v>
      </c>
    </row>
    <row r="1249" spans="1:9" ht="28.5">
      <c r="A1249" s="115" t="s">
        <v>437</v>
      </c>
      <c r="B1249" s="115" t="s">
        <v>1163</v>
      </c>
      <c r="C1249" s="115" t="s">
        <v>431</v>
      </c>
      <c r="D1249" s="116" t="s">
        <v>1164</v>
      </c>
      <c r="E1249" s="115" t="s">
        <v>8</v>
      </c>
      <c r="F1249" s="117">
        <v>1</v>
      </c>
      <c r="G1249" s="118">
        <v>1.31</v>
      </c>
      <c r="H1249" s="118">
        <v>1.31</v>
      </c>
      <c r="I1249" s="285">
        <f t="shared" si="153"/>
        <v>1.31</v>
      </c>
    </row>
    <row r="1250" spans="1:9">
      <c r="A1250" s="115" t="s">
        <v>437</v>
      </c>
      <c r="B1250" s="115" t="s">
        <v>1029</v>
      </c>
      <c r="C1250" s="115" t="s">
        <v>431</v>
      </c>
      <c r="D1250" s="116" t="s">
        <v>1030</v>
      </c>
      <c r="E1250" s="115" t="s">
        <v>8</v>
      </c>
      <c r="F1250" s="117">
        <v>2.1000000000000001E-2</v>
      </c>
      <c r="G1250" s="118">
        <v>2.06</v>
      </c>
      <c r="H1250" s="118">
        <v>0.04</v>
      </c>
      <c r="I1250" s="285">
        <f t="shared" si="153"/>
        <v>4.3260000000000007E-2</v>
      </c>
    </row>
    <row r="1251" spans="1:9" ht="28.5">
      <c r="A1251" s="115" t="s">
        <v>437</v>
      </c>
      <c r="B1251" s="115" t="s">
        <v>1031</v>
      </c>
      <c r="C1251" s="115" t="s">
        <v>431</v>
      </c>
      <c r="D1251" s="116" t="s">
        <v>1032</v>
      </c>
      <c r="E1251" s="115" t="s">
        <v>8</v>
      </c>
      <c r="F1251" s="117">
        <v>1.4999999999999999E-2</v>
      </c>
      <c r="G1251" s="118">
        <v>62.76</v>
      </c>
      <c r="H1251" s="118">
        <v>0.94</v>
      </c>
      <c r="I1251" s="285">
        <f t="shared" si="153"/>
        <v>0.9413999999999999</v>
      </c>
    </row>
    <row r="1252" spans="1:9">
      <c r="A1252" s="104"/>
      <c r="B1252" s="104"/>
      <c r="C1252" s="104"/>
      <c r="D1252" s="104"/>
      <c r="E1252" s="104"/>
      <c r="F1252" s="105"/>
      <c r="G1252" s="106"/>
      <c r="H1252" s="107"/>
      <c r="I1252" s="285"/>
    </row>
    <row r="1253" spans="1:9">
      <c r="A1253" s="108"/>
      <c r="B1253" s="108"/>
      <c r="C1253" s="108"/>
      <c r="D1253" s="108"/>
      <c r="E1253" s="108"/>
      <c r="F1253" s="109"/>
      <c r="G1253" s="110"/>
      <c r="H1253" s="110"/>
      <c r="I1253" s="285"/>
    </row>
    <row r="1254" spans="1:9">
      <c r="A1254" s="92" t="s">
        <v>1471</v>
      </c>
      <c r="B1254" s="92"/>
      <c r="C1254" s="92"/>
      <c r="D1254" s="93" t="s">
        <v>276</v>
      </c>
      <c r="E1254" s="94"/>
      <c r="F1254" s="95"/>
      <c r="G1254" s="92"/>
      <c r="H1254" s="96"/>
      <c r="I1254" s="285"/>
    </row>
    <row r="1255" spans="1:9">
      <c r="A1255" s="97" t="s">
        <v>1472</v>
      </c>
      <c r="B1255" s="97" t="s">
        <v>418</v>
      </c>
      <c r="C1255" s="97" t="s">
        <v>419</v>
      </c>
      <c r="D1255" s="98" t="s">
        <v>420</v>
      </c>
      <c r="E1255" s="97" t="s">
        <v>421</v>
      </c>
      <c r="F1255" s="99" t="s">
        <v>422</v>
      </c>
      <c r="G1255" s="97" t="s">
        <v>423</v>
      </c>
      <c r="H1255" s="97" t="s">
        <v>424</v>
      </c>
      <c r="I1255" s="285"/>
    </row>
    <row r="1256" spans="1:9" ht="28.5">
      <c r="A1256" s="100" t="s">
        <v>425</v>
      </c>
      <c r="B1256" s="100" t="s">
        <v>1306</v>
      </c>
      <c r="C1256" s="100" t="s">
        <v>431</v>
      </c>
      <c r="D1256" s="101" t="s">
        <v>292</v>
      </c>
      <c r="E1256" s="100" t="s">
        <v>8</v>
      </c>
      <c r="F1256" s="102">
        <v>1</v>
      </c>
      <c r="G1256" s="103">
        <v>18.7</v>
      </c>
      <c r="H1256" s="103">
        <v>18.7</v>
      </c>
      <c r="I1256" s="285">
        <f>SUM(I1257:I1262)</f>
        <v>18.710591999999998</v>
      </c>
    </row>
    <row r="1257" spans="1:9" ht="28.5">
      <c r="A1257" s="111" t="s">
        <v>434</v>
      </c>
      <c r="B1257" s="111" t="s">
        <v>1254</v>
      </c>
      <c r="C1257" s="111" t="s">
        <v>431</v>
      </c>
      <c r="D1257" s="112" t="s">
        <v>1255</v>
      </c>
      <c r="E1257" s="111" t="s">
        <v>520</v>
      </c>
      <c r="F1257" s="113">
        <v>3.5200000000000002E-2</v>
      </c>
      <c r="G1257" s="114">
        <v>17.850000000000001</v>
      </c>
      <c r="H1257" s="114">
        <v>0.62</v>
      </c>
      <c r="I1257" s="285">
        <f t="shared" ref="I1257:I1260" si="154">F1257*G1257</f>
        <v>0.6283200000000001</v>
      </c>
    </row>
    <row r="1258" spans="1:9" ht="28.5">
      <c r="A1258" s="111" t="s">
        <v>434</v>
      </c>
      <c r="B1258" s="111" t="s">
        <v>1252</v>
      </c>
      <c r="C1258" s="111" t="s">
        <v>431</v>
      </c>
      <c r="D1258" s="112" t="s">
        <v>1253</v>
      </c>
      <c r="E1258" s="111" t="s">
        <v>520</v>
      </c>
      <c r="F1258" s="113">
        <v>3.5200000000000002E-2</v>
      </c>
      <c r="G1258" s="114">
        <v>23.36</v>
      </c>
      <c r="H1258" s="114">
        <v>0.82</v>
      </c>
      <c r="I1258" s="285">
        <f t="shared" si="154"/>
        <v>0.822272</v>
      </c>
    </row>
    <row r="1259" spans="1:9">
      <c r="A1259" s="115" t="s">
        <v>437</v>
      </c>
      <c r="B1259" s="115" t="s">
        <v>1307</v>
      </c>
      <c r="C1259" s="115" t="s">
        <v>431</v>
      </c>
      <c r="D1259" s="116" t="s">
        <v>1308</v>
      </c>
      <c r="E1259" s="115" t="s">
        <v>8</v>
      </c>
      <c r="F1259" s="117">
        <v>1</v>
      </c>
      <c r="G1259" s="118">
        <v>16.239999999999998</v>
      </c>
      <c r="H1259" s="118">
        <v>16.239999999999998</v>
      </c>
      <c r="I1259" s="285">
        <f t="shared" si="154"/>
        <v>16.239999999999998</v>
      </c>
    </row>
    <row r="1260" spans="1:9" ht="42.75">
      <c r="A1260" s="115" t="s">
        <v>437</v>
      </c>
      <c r="B1260" s="115" t="s">
        <v>1309</v>
      </c>
      <c r="C1260" s="115" t="s">
        <v>431</v>
      </c>
      <c r="D1260" s="116" t="s">
        <v>1310</v>
      </c>
      <c r="E1260" s="115" t="s">
        <v>8</v>
      </c>
      <c r="F1260" s="117">
        <v>1</v>
      </c>
      <c r="G1260" s="118">
        <v>1.02</v>
      </c>
      <c r="H1260" s="118">
        <v>1.02</v>
      </c>
      <c r="I1260" s="285">
        <f t="shared" si="154"/>
        <v>1.02</v>
      </c>
    </row>
    <row r="1261" spans="1:9">
      <c r="A1261" s="104"/>
      <c r="B1261" s="104"/>
      <c r="C1261" s="104"/>
      <c r="D1261" s="104"/>
      <c r="E1261" s="104"/>
      <c r="F1261" s="105"/>
      <c r="G1261" s="106"/>
      <c r="H1261" s="107"/>
      <c r="I1261" s="285"/>
    </row>
    <row r="1262" spans="1:9">
      <c r="A1262" s="108"/>
      <c r="B1262" s="108"/>
      <c r="C1262" s="108"/>
      <c r="D1262" s="108"/>
      <c r="E1262" s="108"/>
      <c r="F1262" s="109"/>
      <c r="G1262" s="110"/>
      <c r="H1262" s="110"/>
      <c r="I1262" s="285"/>
    </row>
    <row r="1263" spans="1:9">
      <c r="A1263" s="97" t="s">
        <v>1473</v>
      </c>
      <c r="B1263" s="97" t="s">
        <v>418</v>
      </c>
      <c r="C1263" s="97" t="s">
        <v>419</v>
      </c>
      <c r="D1263" s="98" t="s">
        <v>420</v>
      </c>
      <c r="E1263" s="97" t="s">
        <v>421</v>
      </c>
      <c r="F1263" s="99" t="s">
        <v>422</v>
      </c>
      <c r="G1263" s="97" t="s">
        <v>423</v>
      </c>
      <c r="H1263" s="97" t="s">
        <v>424</v>
      </c>
      <c r="I1263" s="285"/>
    </row>
    <row r="1264" spans="1:9" ht="42.75">
      <c r="A1264" s="100" t="s">
        <v>425</v>
      </c>
      <c r="B1264" s="100" t="s">
        <v>1320</v>
      </c>
      <c r="C1264" s="100" t="s">
        <v>431</v>
      </c>
      <c r="D1264" s="101" t="s">
        <v>298</v>
      </c>
      <c r="E1264" s="100" t="s">
        <v>31</v>
      </c>
      <c r="F1264" s="102">
        <v>1</v>
      </c>
      <c r="G1264" s="103">
        <v>3.73</v>
      </c>
      <c r="H1264" s="103">
        <v>3.73</v>
      </c>
      <c r="I1264" s="285">
        <f>SUM(I1265:I1270)</f>
        <v>3.7438099999999999</v>
      </c>
    </row>
    <row r="1265" spans="1:9" ht="28.5">
      <c r="A1265" s="111" t="s">
        <v>434</v>
      </c>
      <c r="B1265" s="111" t="s">
        <v>1254</v>
      </c>
      <c r="C1265" s="111" t="s">
        <v>431</v>
      </c>
      <c r="D1265" s="112" t="s">
        <v>1255</v>
      </c>
      <c r="E1265" s="111" t="s">
        <v>520</v>
      </c>
      <c r="F1265" s="113">
        <v>0.03</v>
      </c>
      <c r="G1265" s="114">
        <v>17.850000000000001</v>
      </c>
      <c r="H1265" s="114">
        <v>0.53</v>
      </c>
      <c r="I1265" s="285">
        <f t="shared" ref="I1265:I1268" si="155">F1265*G1265</f>
        <v>0.53549999999999998</v>
      </c>
    </row>
    <row r="1266" spans="1:9" ht="28.5">
      <c r="A1266" s="111" t="s">
        <v>434</v>
      </c>
      <c r="B1266" s="111" t="s">
        <v>1252</v>
      </c>
      <c r="C1266" s="111" t="s">
        <v>431</v>
      </c>
      <c r="D1266" s="112" t="s">
        <v>1253</v>
      </c>
      <c r="E1266" s="111" t="s">
        <v>520</v>
      </c>
      <c r="F1266" s="113">
        <v>0.03</v>
      </c>
      <c r="G1266" s="114">
        <v>23.36</v>
      </c>
      <c r="H1266" s="114">
        <v>0.7</v>
      </c>
      <c r="I1266" s="285">
        <f t="shared" si="155"/>
        <v>0.70079999999999998</v>
      </c>
    </row>
    <row r="1267" spans="1:9" ht="42.75">
      <c r="A1267" s="115" t="s">
        <v>437</v>
      </c>
      <c r="B1267" s="115" t="s">
        <v>1321</v>
      </c>
      <c r="C1267" s="115" t="s">
        <v>431</v>
      </c>
      <c r="D1267" s="116" t="s">
        <v>1322</v>
      </c>
      <c r="E1267" s="115" t="s">
        <v>31</v>
      </c>
      <c r="F1267" s="117">
        <v>1.19</v>
      </c>
      <c r="G1267" s="118">
        <v>2.08</v>
      </c>
      <c r="H1267" s="118">
        <v>2.4700000000000002</v>
      </c>
      <c r="I1267" s="285">
        <f t="shared" si="155"/>
        <v>2.4752000000000001</v>
      </c>
    </row>
    <row r="1268" spans="1:9" ht="28.5">
      <c r="A1268" s="115" t="s">
        <v>437</v>
      </c>
      <c r="B1268" s="115" t="s">
        <v>1258</v>
      </c>
      <c r="C1268" s="115" t="s">
        <v>431</v>
      </c>
      <c r="D1268" s="116" t="s">
        <v>1259</v>
      </c>
      <c r="E1268" s="115" t="s">
        <v>8</v>
      </c>
      <c r="F1268" s="117">
        <v>8.9999999999999993E-3</v>
      </c>
      <c r="G1268" s="118">
        <v>3.59</v>
      </c>
      <c r="H1268" s="118">
        <v>0.03</v>
      </c>
      <c r="I1268" s="285">
        <f t="shared" si="155"/>
        <v>3.2309999999999998E-2</v>
      </c>
    </row>
    <row r="1269" spans="1:9">
      <c r="A1269" s="104"/>
      <c r="B1269" s="104"/>
      <c r="C1269" s="104"/>
      <c r="D1269" s="104"/>
      <c r="E1269" s="104"/>
      <c r="F1269" s="105"/>
      <c r="G1269" s="106"/>
      <c r="H1269" s="107"/>
      <c r="I1269" s="285"/>
    </row>
    <row r="1270" spans="1:9">
      <c r="A1270" s="108"/>
      <c r="B1270" s="108"/>
      <c r="C1270" s="108"/>
      <c r="D1270" s="108"/>
      <c r="E1270" s="108"/>
      <c r="F1270" s="109"/>
      <c r="G1270" s="110"/>
      <c r="H1270" s="110"/>
      <c r="I1270" s="285"/>
    </row>
    <row r="1271" spans="1:9">
      <c r="A1271" s="97" t="s">
        <v>1474</v>
      </c>
      <c r="B1271" s="97" t="s">
        <v>418</v>
      </c>
      <c r="C1271" s="97" t="s">
        <v>419</v>
      </c>
      <c r="D1271" s="98" t="s">
        <v>420</v>
      </c>
      <c r="E1271" s="97" t="s">
        <v>421</v>
      </c>
      <c r="F1271" s="99" t="s">
        <v>422</v>
      </c>
      <c r="G1271" s="97" t="s">
        <v>423</v>
      </c>
      <c r="H1271" s="97" t="s">
        <v>424</v>
      </c>
      <c r="I1271" s="285"/>
    </row>
    <row r="1272" spans="1:9" ht="28.5">
      <c r="A1272" s="100" t="s">
        <v>425</v>
      </c>
      <c r="B1272" s="100" t="s">
        <v>1271</v>
      </c>
      <c r="C1272" s="100" t="s">
        <v>427</v>
      </c>
      <c r="D1272" s="101" t="s">
        <v>285</v>
      </c>
      <c r="E1272" s="100" t="s">
        <v>31</v>
      </c>
      <c r="F1272" s="102">
        <v>1</v>
      </c>
      <c r="G1272" s="119" t="s">
        <v>1272</v>
      </c>
      <c r="H1272" s="119" t="s">
        <v>1272</v>
      </c>
      <c r="I1272" s="285">
        <f>SUM(I1273:I1278)</f>
        <v>20.018999999999998</v>
      </c>
    </row>
    <row r="1273" spans="1:9" ht="28.5">
      <c r="A1273" s="111" t="s">
        <v>434</v>
      </c>
      <c r="B1273" s="111" t="s">
        <v>1273</v>
      </c>
      <c r="C1273" s="111" t="s">
        <v>427</v>
      </c>
      <c r="D1273" s="112" t="s">
        <v>1274</v>
      </c>
      <c r="E1273" s="111" t="s">
        <v>464</v>
      </c>
      <c r="F1273" s="113">
        <v>0.3</v>
      </c>
      <c r="G1273" s="121" t="s">
        <v>1275</v>
      </c>
      <c r="H1273" s="121" t="s">
        <v>1276</v>
      </c>
      <c r="I1273" s="285">
        <f t="shared" ref="I1273:I1275" si="156">F1273*G1273</f>
        <v>5.3550000000000004</v>
      </c>
    </row>
    <row r="1274" spans="1:9" ht="28.5">
      <c r="A1274" s="111" t="s">
        <v>434</v>
      </c>
      <c r="B1274" s="111" t="s">
        <v>1277</v>
      </c>
      <c r="C1274" s="111" t="s">
        <v>427</v>
      </c>
      <c r="D1274" s="112" t="s">
        <v>1253</v>
      </c>
      <c r="E1274" s="111" t="s">
        <v>464</v>
      </c>
      <c r="F1274" s="113">
        <v>0.3</v>
      </c>
      <c r="G1274" s="121" t="s">
        <v>1278</v>
      </c>
      <c r="H1274" s="121" t="s">
        <v>1279</v>
      </c>
      <c r="I1274" s="285">
        <f t="shared" si="156"/>
        <v>7.008</v>
      </c>
    </row>
    <row r="1275" spans="1:9" ht="28.5">
      <c r="A1275" s="115" t="s">
        <v>437</v>
      </c>
      <c r="B1275" s="115" t="s">
        <v>1280</v>
      </c>
      <c r="C1275" s="115" t="s">
        <v>427</v>
      </c>
      <c r="D1275" s="116" t="s">
        <v>1281</v>
      </c>
      <c r="E1275" s="115" t="s">
        <v>472</v>
      </c>
      <c r="F1275" s="117">
        <v>1.1000000000000001</v>
      </c>
      <c r="G1275" s="120" t="s">
        <v>1282</v>
      </c>
      <c r="H1275" s="120" t="s">
        <v>1283</v>
      </c>
      <c r="I1275" s="285">
        <f t="shared" si="156"/>
        <v>7.6560000000000006</v>
      </c>
    </row>
    <row r="1276" spans="1:9">
      <c r="A1276" s="104"/>
      <c r="B1276" s="104"/>
      <c r="C1276" s="104"/>
      <c r="D1276" s="104"/>
      <c r="E1276" s="104"/>
      <c r="F1276" s="105"/>
      <c r="G1276" s="106"/>
      <c r="H1276" s="107"/>
      <c r="I1276" s="285"/>
    </row>
    <row r="1277" spans="1:9">
      <c r="A1277" s="108"/>
      <c r="B1277" s="108"/>
      <c r="C1277" s="108"/>
      <c r="D1277" s="108"/>
      <c r="E1277" s="108"/>
      <c r="F1277" s="109"/>
      <c r="G1277" s="110"/>
      <c r="H1277" s="110"/>
      <c r="I1277" s="285"/>
    </row>
    <row r="1278" spans="1:9">
      <c r="A1278" s="97" t="s">
        <v>1475</v>
      </c>
      <c r="B1278" s="97" t="s">
        <v>418</v>
      </c>
      <c r="C1278" s="97" t="s">
        <v>419</v>
      </c>
      <c r="D1278" s="98" t="s">
        <v>420</v>
      </c>
      <c r="E1278" s="97" t="s">
        <v>421</v>
      </c>
      <c r="F1278" s="99" t="s">
        <v>422</v>
      </c>
      <c r="G1278" s="97" t="s">
        <v>423</v>
      </c>
      <c r="H1278" s="97" t="s">
        <v>424</v>
      </c>
      <c r="I1278" s="285"/>
    </row>
    <row r="1279" spans="1:9" ht="42.75">
      <c r="A1279" s="100" t="s">
        <v>425</v>
      </c>
      <c r="B1279" s="100" t="s">
        <v>1330</v>
      </c>
      <c r="C1279" s="100" t="s">
        <v>622</v>
      </c>
      <c r="D1279" s="101" t="s">
        <v>304</v>
      </c>
      <c r="E1279" s="100" t="s">
        <v>8</v>
      </c>
      <c r="F1279" s="102">
        <v>1</v>
      </c>
      <c r="G1279" s="103">
        <v>35.76</v>
      </c>
      <c r="H1279" s="103">
        <v>35.76</v>
      </c>
      <c r="I1279" s="285">
        <f>SUM(I1280:I1285)</f>
        <v>35.773600000000002</v>
      </c>
    </row>
    <row r="1280" spans="1:9" ht="28.5">
      <c r="A1280" s="111" t="s">
        <v>434</v>
      </c>
      <c r="B1280" s="111" t="s">
        <v>1254</v>
      </c>
      <c r="C1280" s="111" t="s">
        <v>431</v>
      </c>
      <c r="D1280" s="112" t="s">
        <v>1255</v>
      </c>
      <c r="E1280" s="111" t="s">
        <v>520</v>
      </c>
      <c r="F1280" s="113">
        <v>0.16</v>
      </c>
      <c r="G1280" s="114">
        <v>17.850000000000001</v>
      </c>
      <c r="H1280" s="114">
        <v>2.85</v>
      </c>
      <c r="I1280" s="285">
        <f t="shared" ref="I1280:I1285" si="157">F1280*G1280</f>
        <v>2.8560000000000003</v>
      </c>
    </row>
    <row r="1281" spans="1:9" ht="28.5">
      <c r="A1281" s="111" t="s">
        <v>434</v>
      </c>
      <c r="B1281" s="111" t="s">
        <v>1252</v>
      </c>
      <c r="C1281" s="111" t="s">
        <v>431</v>
      </c>
      <c r="D1281" s="112" t="s">
        <v>1253</v>
      </c>
      <c r="E1281" s="111" t="s">
        <v>520</v>
      </c>
      <c r="F1281" s="113">
        <v>0.16</v>
      </c>
      <c r="G1281" s="114">
        <v>23.36</v>
      </c>
      <c r="H1281" s="114">
        <v>3.73</v>
      </c>
      <c r="I1281" s="285">
        <f t="shared" si="157"/>
        <v>3.7376</v>
      </c>
    </row>
    <row r="1282" spans="1:9" ht="28.5">
      <c r="A1282" s="115" t="s">
        <v>437</v>
      </c>
      <c r="B1282" s="115" t="s">
        <v>1331</v>
      </c>
      <c r="C1282" s="115" t="s">
        <v>431</v>
      </c>
      <c r="D1282" s="116" t="s">
        <v>1332</v>
      </c>
      <c r="E1282" s="115" t="s">
        <v>8</v>
      </c>
      <c r="F1282" s="117">
        <v>1</v>
      </c>
      <c r="G1282" s="118">
        <v>15.75</v>
      </c>
      <c r="H1282" s="118">
        <v>15.75</v>
      </c>
      <c r="I1282" s="285">
        <f t="shared" si="157"/>
        <v>15.75</v>
      </c>
    </row>
    <row r="1283" spans="1:9">
      <c r="A1283" s="115" t="s">
        <v>437</v>
      </c>
      <c r="B1283" s="115" t="s">
        <v>1333</v>
      </c>
      <c r="C1283" s="115" t="s">
        <v>431</v>
      </c>
      <c r="D1283" s="116" t="s">
        <v>1334</v>
      </c>
      <c r="E1283" s="115" t="s">
        <v>8</v>
      </c>
      <c r="F1283" s="117">
        <v>1</v>
      </c>
      <c r="G1283" s="118">
        <v>7.6</v>
      </c>
      <c r="H1283" s="118">
        <v>7.6</v>
      </c>
      <c r="I1283" s="285">
        <f t="shared" si="157"/>
        <v>7.6</v>
      </c>
    </row>
    <row r="1284" spans="1:9" ht="28.5">
      <c r="A1284" s="115" t="s">
        <v>437</v>
      </c>
      <c r="B1284" s="115" t="s">
        <v>1335</v>
      </c>
      <c r="C1284" s="115" t="s">
        <v>431</v>
      </c>
      <c r="D1284" s="116" t="s">
        <v>1336</v>
      </c>
      <c r="E1284" s="115" t="s">
        <v>8</v>
      </c>
      <c r="F1284" s="117">
        <v>1</v>
      </c>
      <c r="G1284" s="118">
        <v>3.82</v>
      </c>
      <c r="H1284" s="118">
        <v>3.82</v>
      </c>
      <c r="I1284" s="285">
        <f t="shared" si="157"/>
        <v>3.82</v>
      </c>
    </row>
    <row r="1285" spans="1:9" ht="42.75">
      <c r="A1285" s="115" t="s">
        <v>437</v>
      </c>
      <c r="B1285" s="115" t="s">
        <v>1337</v>
      </c>
      <c r="C1285" s="115" t="s">
        <v>431</v>
      </c>
      <c r="D1285" s="116" t="s">
        <v>1338</v>
      </c>
      <c r="E1285" s="115" t="s">
        <v>8</v>
      </c>
      <c r="F1285" s="117">
        <v>1</v>
      </c>
      <c r="G1285" s="118">
        <v>2.0099999999999998</v>
      </c>
      <c r="H1285" s="118">
        <v>2.0099999999999998</v>
      </c>
      <c r="I1285" s="285">
        <f t="shared" si="157"/>
        <v>2.0099999999999998</v>
      </c>
    </row>
    <row r="1286" spans="1:9">
      <c r="A1286" s="104"/>
      <c r="B1286" s="104"/>
      <c r="C1286" s="104"/>
      <c r="D1286" s="104"/>
      <c r="E1286" s="104"/>
      <c r="F1286" s="105"/>
      <c r="G1286" s="106"/>
      <c r="H1286" s="107"/>
      <c r="I1286" s="285"/>
    </row>
    <row r="1287" spans="1:9">
      <c r="A1287" s="108"/>
      <c r="B1287" s="108"/>
      <c r="C1287" s="108"/>
      <c r="D1287" s="108"/>
      <c r="E1287" s="108"/>
      <c r="F1287" s="109"/>
      <c r="G1287" s="110"/>
      <c r="H1287" s="110"/>
      <c r="I1287" s="285"/>
    </row>
    <row r="1288" spans="1:9">
      <c r="A1288" s="97" t="s">
        <v>1476</v>
      </c>
      <c r="B1288" s="97" t="s">
        <v>418</v>
      </c>
      <c r="C1288" s="97" t="s">
        <v>419</v>
      </c>
      <c r="D1288" s="98" t="s">
        <v>420</v>
      </c>
      <c r="E1288" s="97" t="s">
        <v>421</v>
      </c>
      <c r="F1288" s="99" t="s">
        <v>422</v>
      </c>
      <c r="G1288" s="97" t="s">
        <v>423</v>
      </c>
      <c r="H1288" s="97" t="s">
        <v>424</v>
      </c>
      <c r="I1288" s="285"/>
    </row>
    <row r="1289" spans="1:9" ht="42.75">
      <c r="A1289" s="100" t="s">
        <v>425</v>
      </c>
      <c r="B1289" s="100" t="s">
        <v>1477</v>
      </c>
      <c r="C1289" s="100" t="s">
        <v>431</v>
      </c>
      <c r="D1289" s="101" t="s">
        <v>408</v>
      </c>
      <c r="E1289" s="100" t="s">
        <v>8</v>
      </c>
      <c r="F1289" s="102">
        <v>1</v>
      </c>
      <c r="G1289" s="103">
        <v>147.24</v>
      </c>
      <c r="H1289" s="103">
        <v>147.24</v>
      </c>
      <c r="I1289" s="285">
        <f>SUM(I1290:I1295)</f>
        <v>147.243763</v>
      </c>
    </row>
    <row r="1290" spans="1:9" ht="28.5">
      <c r="A1290" s="111" t="s">
        <v>434</v>
      </c>
      <c r="B1290" s="111" t="s">
        <v>1252</v>
      </c>
      <c r="C1290" s="111" t="s">
        <v>431</v>
      </c>
      <c r="D1290" s="112" t="s">
        <v>1253</v>
      </c>
      <c r="E1290" s="111" t="s">
        <v>520</v>
      </c>
      <c r="F1290" s="113">
        <v>0.55179999999999996</v>
      </c>
      <c r="G1290" s="114">
        <v>23.36</v>
      </c>
      <c r="H1290" s="114">
        <v>12.89</v>
      </c>
      <c r="I1290" s="285">
        <f t="shared" ref="I1290:I1293" si="158">F1290*G1290</f>
        <v>12.890047999999998</v>
      </c>
    </row>
    <row r="1291" spans="1:9" ht="28.5">
      <c r="A1291" s="111" t="s">
        <v>434</v>
      </c>
      <c r="B1291" s="111" t="s">
        <v>1254</v>
      </c>
      <c r="C1291" s="111" t="s">
        <v>431</v>
      </c>
      <c r="D1291" s="112" t="s">
        <v>1255</v>
      </c>
      <c r="E1291" s="111" t="s">
        <v>520</v>
      </c>
      <c r="F1291" s="113">
        <v>0.22989999999999999</v>
      </c>
      <c r="G1291" s="114">
        <v>17.850000000000001</v>
      </c>
      <c r="H1291" s="114">
        <v>4.0999999999999996</v>
      </c>
      <c r="I1291" s="285">
        <f t="shared" si="158"/>
        <v>4.1037150000000002</v>
      </c>
    </row>
    <row r="1292" spans="1:9" ht="28.5">
      <c r="A1292" s="115" t="s">
        <v>437</v>
      </c>
      <c r="B1292" s="115" t="s">
        <v>1478</v>
      </c>
      <c r="C1292" s="115" t="s">
        <v>431</v>
      </c>
      <c r="D1292" s="116" t="s">
        <v>1479</v>
      </c>
      <c r="E1292" s="115" t="s">
        <v>8</v>
      </c>
      <c r="F1292" s="117">
        <v>1</v>
      </c>
      <c r="G1292" s="118">
        <v>8.6</v>
      </c>
      <c r="H1292" s="118">
        <v>8.6</v>
      </c>
      <c r="I1292" s="285">
        <f t="shared" si="158"/>
        <v>8.6</v>
      </c>
    </row>
    <row r="1293" spans="1:9" ht="42.75">
      <c r="A1293" s="115" t="s">
        <v>437</v>
      </c>
      <c r="B1293" s="115" t="s">
        <v>1480</v>
      </c>
      <c r="C1293" s="115" t="s">
        <v>431</v>
      </c>
      <c r="D1293" s="116" t="s">
        <v>1481</v>
      </c>
      <c r="E1293" s="115" t="s">
        <v>8</v>
      </c>
      <c r="F1293" s="117">
        <v>1</v>
      </c>
      <c r="G1293" s="118">
        <v>121.65</v>
      </c>
      <c r="H1293" s="118">
        <v>121.65</v>
      </c>
      <c r="I1293" s="285">
        <f t="shared" si="158"/>
        <v>121.65</v>
      </c>
    </row>
    <row r="1294" spans="1:9">
      <c r="A1294" s="104"/>
      <c r="B1294" s="104"/>
      <c r="C1294" s="104"/>
      <c r="D1294" s="104"/>
      <c r="E1294" s="104"/>
      <c r="F1294" s="105"/>
      <c r="G1294" s="106"/>
      <c r="H1294" s="107"/>
      <c r="I1294" s="285"/>
    </row>
    <row r="1295" spans="1:9">
      <c r="A1295" s="108"/>
      <c r="B1295" s="108"/>
      <c r="C1295" s="108"/>
      <c r="D1295" s="108"/>
      <c r="E1295" s="108"/>
      <c r="F1295" s="109"/>
      <c r="G1295" s="110"/>
      <c r="H1295" s="110"/>
      <c r="I1295" s="285"/>
    </row>
    <row r="1296" spans="1:9">
      <c r="A1296" s="97" t="s">
        <v>1482</v>
      </c>
      <c r="B1296" s="97" t="s">
        <v>418</v>
      </c>
      <c r="C1296" s="97" t="s">
        <v>419</v>
      </c>
      <c r="D1296" s="98" t="s">
        <v>420</v>
      </c>
      <c r="E1296" s="97" t="s">
        <v>421</v>
      </c>
      <c r="F1296" s="99" t="s">
        <v>422</v>
      </c>
      <c r="G1296" s="97" t="s">
        <v>423</v>
      </c>
      <c r="H1296" s="97" t="s">
        <v>424</v>
      </c>
      <c r="I1296" s="285"/>
    </row>
    <row r="1297" spans="1:9" ht="42.75">
      <c r="A1297" s="100" t="s">
        <v>425</v>
      </c>
      <c r="B1297" s="100" t="s">
        <v>1363</v>
      </c>
      <c r="C1297" s="100" t="s">
        <v>622</v>
      </c>
      <c r="D1297" s="101" t="s">
        <v>317</v>
      </c>
      <c r="E1297" s="100" t="s">
        <v>8</v>
      </c>
      <c r="F1297" s="102">
        <v>1</v>
      </c>
      <c r="G1297" s="119" t="s">
        <v>1364</v>
      </c>
      <c r="H1297" s="119" t="s">
        <v>1364</v>
      </c>
      <c r="I1297" s="285">
        <f>SUM(I1298:I1303)</f>
        <v>34.2136</v>
      </c>
    </row>
    <row r="1298" spans="1:9" ht="28.5">
      <c r="A1298" s="111" t="s">
        <v>434</v>
      </c>
      <c r="B1298" s="111" t="s">
        <v>1254</v>
      </c>
      <c r="C1298" s="111" t="s">
        <v>431</v>
      </c>
      <c r="D1298" s="112" t="s">
        <v>1255</v>
      </c>
      <c r="E1298" s="111" t="s">
        <v>520</v>
      </c>
      <c r="F1298" s="113">
        <v>0.16</v>
      </c>
      <c r="G1298" s="121" t="s">
        <v>1275</v>
      </c>
      <c r="H1298" s="121" t="s">
        <v>1365</v>
      </c>
      <c r="I1298" s="285">
        <f t="shared" ref="I1298:I1303" si="159">F1298*G1298</f>
        <v>2.8560000000000003</v>
      </c>
    </row>
    <row r="1299" spans="1:9" ht="28.5">
      <c r="A1299" s="111" t="s">
        <v>434</v>
      </c>
      <c r="B1299" s="111" t="s">
        <v>1252</v>
      </c>
      <c r="C1299" s="111" t="s">
        <v>431</v>
      </c>
      <c r="D1299" s="112" t="s">
        <v>1253</v>
      </c>
      <c r="E1299" s="111" t="s">
        <v>520</v>
      </c>
      <c r="F1299" s="113">
        <v>0.16</v>
      </c>
      <c r="G1299" s="121" t="s">
        <v>1278</v>
      </c>
      <c r="H1299" s="121" t="s">
        <v>1366</v>
      </c>
      <c r="I1299" s="285">
        <f t="shared" si="159"/>
        <v>3.7376</v>
      </c>
    </row>
    <row r="1300" spans="1:9" ht="28.5">
      <c r="A1300" s="115" t="s">
        <v>437</v>
      </c>
      <c r="B1300" s="115" t="s">
        <v>1331</v>
      </c>
      <c r="C1300" s="115" t="s">
        <v>431</v>
      </c>
      <c r="D1300" s="116" t="s">
        <v>1332</v>
      </c>
      <c r="E1300" s="115" t="s">
        <v>8</v>
      </c>
      <c r="F1300" s="117">
        <v>1</v>
      </c>
      <c r="G1300" s="120" t="s">
        <v>1367</v>
      </c>
      <c r="H1300" s="120" t="s">
        <v>1367</v>
      </c>
      <c r="I1300" s="285">
        <f t="shared" si="159"/>
        <v>15.75</v>
      </c>
    </row>
    <row r="1301" spans="1:9" ht="42.75">
      <c r="A1301" s="115" t="s">
        <v>437</v>
      </c>
      <c r="B1301" s="115" t="s">
        <v>1337</v>
      </c>
      <c r="C1301" s="115" t="s">
        <v>431</v>
      </c>
      <c r="D1301" s="116" t="s">
        <v>1338</v>
      </c>
      <c r="E1301" s="115" t="s">
        <v>8</v>
      </c>
      <c r="F1301" s="117">
        <v>1</v>
      </c>
      <c r="G1301" s="120" t="s">
        <v>539</v>
      </c>
      <c r="H1301" s="120" t="s">
        <v>539</v>
      </c>
      <c r="I1301" s="285">
        <f t="shared" si="159"/>
        <v>2.0099999999999998</v>
      </c>
    </row>
    <row r="1302" spans="1:9">
      <c r="A1302" s="115" t="s">
        <v>437</v>
      </c>
      <c r="B1302" s="115" t="s">
        <v>1368</v>
      </c>
      <c r="C1302" s="115" t="s">
        <v>431</v>
      </c>
      <c r="D1302" s="116" t="s">
        <v>1369</v>
      </c>
      <c r="E1302" s="115" t="s">
        <v>8</v>
      </c>
      <c r="F1302" s="117">
        <v>1</v>
      </c>
      <c r="G1302" s="120" t="s">
        <v>1370</v>
      </c>
      <c r="H1302" s="120" t="s">
        <v>1370</v>
      </c>
      <c r="I1302" s="285">
        <f t="shared" si="159"/>
        <v>6.68</v>
      </c>
    </row>
    <row r="1303" spans="1:9" ht="42.75">
      <c r="A1303" s="115" t="s">
        <v>437</v>
      </c>
      <c r="B1303" s="115" t="s">
        <v>1371</v>
      </c>
      <c r="C1303" s="115" t="s">
        <v>427</v>
      </c>
      <c r="D1303" s="116" t="s">
        <v>1372</v>
      </c>
      <c r="E1303" s="115" t="s">
        <v>676</v>
      </c>
      <c r="F1303" s="117">
        <v>1</v>
      </c>
      <c r="G1303" s="120" t="s">
        <v>1373</v>
      </c>
      <c r="H1303" s="120" t="s">
        <v>1373</v>
      </c>
      <c r="I1303" s="285">
        <f t="shared" si="159"/>
        <v>3.18</v>
      </c>
    </row>
  </sheetData>
  <mergeCells count="4">
    <mergeCell ref="A1:E1"/>
    <mergeCell ref="F1:G1"/>
    <mergeCell ref="A2:E2"/>
    <mergeCell ref="F2:G2"/>
  </mergeCells>
  <pageMargins left="0.74791666666666701" right="0.74791666666666701" top="0.98402777777777795" bottom="0.98402777777777795" header="0.51180555555555496" footer="0.51180555555555496"/>
  <pageSetup paperSize="9" firstPageNumber="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60"/>
  <sheetViews>
    <sheetView topLeftCell="A28" zoomScaleNormal="100" workbookViewId="0">
      <selection activeCell="L60" sqref="L60"/>
    </sheetView>
  </sheetViews>
  <sheetFormatPr defaultRowHeight="15"/>
  <cols>
    <col min="1" max="1" width="7.85546875"/>
    <col min="2" max="2" width="58"/>
    <col min="3" max="3" width="9"/>
    <col min="4" max="4" width="15.140625"/>
    <col min="5" max="5" width="9"/>
    <col min="6" max="6" width="12.42578125"/>
    <col min="7" max="7" width="7.85546875"/>
    <col min="8" max="8" width="12.5703125"/>
    <col min="9" max="9" width="9"/>
    <col min="10" max="10" width="12.5703125"/>
    <col min="11" max="11" width="7.85546875"/>
    <col min="12" max="12" width="12.28515625"/>
    <col min="13" max="13" width="0" hidden="1" customWidth="1"/>
    <col min="14" max="15" width="9.7109375"/>
    <col min="16" max="26" width="7.85546875"/>
    <col min="27" max="1025" width="14.140625"/>
  </cols>
  <sheetData>
    <row r="1" spans="1:26" ht="15" customHeight="1">
      <c r="A1" s="315" t="s">
        <v>0</v>
      </c>
      <c r="B1" s="315"/>
      <c r="C1" s="315"/>
      <c r="D1" s="315"/>
      <c r="E1" s="315"/>
      <c r="F1" s="315"/>
      <c r="G1" s="315"/>
      <c r="H1" s="315"/>
      <c r="I1" s="315"/>
      <c r="J1" s="315"/>
      <c r="K1" s="315"/>
      <c r="L1" s="1" t="s">
        <v>2</v>
      </c>
    </row>
    <row r="2" spans="1:26" ht="15" customHeight="1">
      <c r="A2" s="326" t="s">
        <v>1483</v>
      </c>
      <c r="B2" s="326"/>
      <c r="C2" s="326"/>
      <c r="D2" s="326"/>
      <c r="E2" s="326"/>
      <c r="F2" s="326"/>
      <c r="G2" s="326"/>
      <c r="H2" s="326"/>
      <c r="I2" s="326"/>
      <c r="J2" s="326"/>
      <c r="K2" s="326"/>
      <c r="L2" s="2">
        <v>0.25109999999999999</v>
      </c>
    </row>
    <row r="3" spans="1:26" ht="15.75" customHeight="1">
      <c r="A3" s="123" t="s">
        <v>5</v>
      </c>
      <c r="B3" s="124" t="s">
        <v>7</v>
      </c>
      <c r="C3" s="327" t="s">
        <v>1484</v>
      </c>
      <c r="D3" s="327"/>
      <c r="E3" s="328" t="s">
        <v>1485</v>
      </c>
      <c r="F3" s="328"/>
      <c r="G3" s="329" t="s">
        <v>1486</v>
      </c>
      <c r="H3" s="329"/>
      <c r="I3" s="328" t="s">
        <v>1487</v>
      </c>
      <c r="J3" s="328"/>
      <c r="K3" s="330" t="s">
        <v>1488</v>
      </c>
      <c r="L3" s="330"/>
      <c r="M3" s="125"/>
      <c r="N3" s="125"/>
      <c r="O3" s="125"/>
      <c r="P3" s="125"/>
      <c r="Q3" s="125"/>
      <c r="R3" s="125"/>
      <c r="S3" s="125"/>
      <c r="T3" s="125"/>
      <c r="U3" s="125"/>
      <c r="V3" s="125"/>
      <c r="W3" s="125"/>
      <c r="X3" s="125"/>
      <c r="Y3" s="125"/>
      <c r="Z3" s="125"/>
    </row>
    <row r="4" spans="1:26" ht="12.75" customHeight="1">
      <c r="A4" s="123"/>
      <c r="B4" s="124"/>
      <c r="C4" s="126" t="s">
        <v>16</v>
      </c>
      <c r="D4" s="127" t="s">
        <v>1489</v>
      </c>
      <c r="E4" s="128" t="s">
        <v>16</v>
      </c>
      <c r="F4" s="128" t="s">
        <v>1489</v>
      </c>
      <c r="G4" s="129" t="s">
        <v>16</v>
      </c>
      <c r="H4" s="129" t="s">
        <v>1489</v>
      </c>
      <c r="I4" s="128" t="s">
        <v>16</v>
      </c>
      <c r="J4" s="128" t="s">
        <v>1489</v>
      </c>
      <c r="K4" s="129" t="s">
        <v>16</v>
      </c>
      <c r="L4" s="130" t="s">
        <v>1489</v>
      </c>
      <c r="M4" s="125"/>
      <c r="N4" s="125"/>
      <c r="O4" s="125"/>
      <c r="P4" s="125"/>
      <c r="Q4" s="125"/>
      <c r="R4" s="125"/>
      <c r="S4" s="125"/>
      <c r="T4" s="125"/>
      <c r="U4" s="125"/>
      <c r="V4" s="125"/>
      <c r="W4" s="125"/>
      <c r="X4" s="125"/>
      <c r="Y4" s="125"/>
      <c r="Z4" s="125"/>
    </row>
    <row r="5" spans="1:26">
      <c r="A5" s="131">
        <f>'Sintetica (não desonerado)'!A4</f>
        <v>1</v>
      </c>
      <c r="B5" s="132" t="str">
        <f>'Sintetica (não desonerado)'!B4</f>
        <v>MOBILIZAÇÃO E DESMOBILIZAÇÃO DE OBRA</v>
      </c>
      <c r="C5" s="133">
        <f t="shared" ref="C5:C48" si="0">D5/D$50</f>
        <v>4.9751058573817243E-3</v>
      </c>
      <c r="D5" s="127">
        <f>ROUND('Sintetica (não desonerado)'!G6*(1+$L$2),2)</f>
        <v>1256.25</v>
      </c>
      <c r="E5" s="134">
        <v>0.5</v>
      </c>
      <c r="F5" s="135">
        <f>ROUND(E5*$D5,2)</f>
        <v>628.13</v>
      </c>
      <c r="G5" s="136"/>
      <c r="H5" s="137"/>
      <c r="I5" s="134"/>
      <c r="J5" s="135"/>
      <c r="K5" s="136">
        <v>0.5</v>
      </c>
      <c r="L5" s="138">
        <f>ROUND(K5*$D5,2)</f>
        <v>628.13</v>
      </c>
      <c r="M5" s="139">
        <f t="shared" ref="M5:M48" si="1">SUM(E5+G5+I5+K5)</f>
        <v>1</v>
      </c>
      <c r="N5" s="125"/>
      <c r="O5" s="125"/>
      <c r="P5" s="125"/>
      <c r="Q5" s="125"/>
      <c r="R5" s="125"/>
      <c r="S5" s="125"/>
      <c r="T5" s="125"/>
      <c r="U5" s="125"/>
      <c r="V5" s="125"/>
      <c r="W5" s="125"/>
      <c r="X5" s="125"/>
      <c r="Y5" s="125"/>
      <c r="Z5" s="125"/>
    </row>
    <row r="6" spans="1:26">
      <c r="A6" s="131">
        <f>'Sintetica (não desonerado)'!A8</f>
        <v>2</v>
      </c>
      <c r="B6" s="140" t="str">
        <f>'Sintetica (não desonerado)'!B8</f>
        <v>ADMINISTRAÇÃO LOCAL</v>
      </c>
      <c r="C6" s="133">
        <f t="shared" si="0"/>
        <v>0.12364796424212712</v>
      </c>
      <c r="D6" s="127">
        <f>ROUND('Sintetica (não desonerado)'!G10*(1+$L$2),2)</f>
        <v>31222</v>
      </c>
      <c r="E6" s="134">
        <v>0.21629999999999999</v>
      </c>
      <c r="F6" s="135">
        <f>ROUND(E6*$D6,2)</f>
        <v>6753.32</v>
      </c>
      <c r="G6" s="136">
        <v>0.2581</v>
      </c>
      <c r="H6" s="137">
        <f>ROUND(G6*$D6,2)</f>
        <v>8058.4</v>
      </c>
      <c r="I6" s="134">
        <v>0.40110000000000001</v>
      </c>
      <c r="J6" s="135">
        <f>ROUND(I6*$D6,2)</f>
        <v>12523.14</v>
      </c>
      <c r="K6" s="136">
        <v>0.1245</v>
      </c>
      <c r="L6" s="138">
        <f>ROUND(K6*$D6,2)</f>
        <v>3887.14</v>
      </c>
      <c r="M6" s="139">
        <f t="shared" si="1"/>
        <v>1</v>
      </c>
      <c r="N6" s="125"/>
      <c r="O6" s="125"/>
      <c r="P6" s="125"/>
      <c r="Q6" s="125"/>
      <c r="R6" s="125"/>
      <c r="S6" s="125"/>
      <c r="T6" s="125"/>
      <c r="U6" s="125"/>
      <c r="V6" s="125"/>
      <c r="W6" s="125"/>
      <c r="X6" s="125"/>
      <c r="Y6" s="125"/>
      <c r="Z6" s="125"/>
    </row>
    <row r="7" spans="1:26">
      <c r="A7" s="131">
        <f>'Sintetica (não desonerado)'!A12</f>
        <v>3</v>
      </c>
      <c r="B7" s="140" t="str">
        <f>'Sintetica (não desonerado)'!B12</f>
        <v>CANTEIRO DE OBRAS</v>
      </c>
      <c r="C7" s="133">
        <f t="shared" si="0"/>
        <v>1.690759775988953E-2</v>
      </c>
      <c r="D7" s="127">
        <f>ROUND('Sintetica (não desonerado)'!G16*(1+$L$2),2)</f>
        <v>4269.29</v>
      </c>
      <c r="E7" s="134">
        <v>1</v>
      </c>
      <c r="F7" s="135">
        <f>ROUND(E7*$D7,2)</f>
        <v>4269.29</v>
      </c>
      <c r="G7" s="136"/>
      <c r="H7" s="137"/>
      <c r="I7" s="134"/>
      <c r="J7" s="135"/>
      <c r="K7" s="136"/>
      <c r="L7" s="138"/>
      <c r="M7" s="139">
        <f t="shared" si="1"/>
        <v>1</v>
      </c>
      <c r="N7" s="125"/>
      <c r="O7" s="125"/>
      <c r="P7" s="125"/>
      <c r="Q7" s="125"/>
      <c r="R7" s="125"/>
      <c r="S7" s="125"/>
      <c r="T7" s="125"/>
      <c r="U7" s="125"/>
      <c r="V7" s="125"/>
      <c r="W7" s="125"/>
      <c r="X7" s="125"/>
      <c r="Y7" s="125"/>
      <c r="Z7" s="125"/>
    </row>
    <row r="8" spans="1:26">
      <c r="A8" s="141">
        <f>'Sintetica (não desonerado)'!A18</f>
        <v>4</v>
      </c>
      <c r="B8" s="142" t="str">
        <f>'Sintetica (não desonerado)'!B18</f>
        <v>ABRIGO EXTERNO DE RESÍDUOS</v>
      </c>
      <c r="C8" s="143">
        <f t="shared" si="0"/>
        <v>0.66535729141019706</v>
      </c>
      <c r="D8" s="144">
        <f>ROUND(SUM(D9,D13,D18,D26,D27,D28,D31,D32),2)</f>
        <v>168007.5</v>
      </c>
      <c r="E8" s="145"/>
      <c r="F8" s="146"/>
      <c r="G8" s="145"/>
      <c r="H8" s="146"/>
      <c r="I8" s="145"/>
      <c r="J8" s="146"/>
      <c r="K8" s="145"/>
      <c r="L8" s="147"/>
      <c r="M8" s="139">
        <f t="shared" si="1"/>
        <v>0</v>
      </c>
      <c r="N8" s="125"/>
      <c r="O8" s="125"/>
      <c r="P8" s="125"/>
      <c r="Q8" s="125"/>
      <c r="R8" s="125"/>
      <c r="S8" s="125"/>
      <c r="T8" s="125"/>
      <c r="U8" s="125"/>
      <c r="V8" s="125"/>
      <c r="W8" s="125"/>
      <c r="X8" s="125"/>
      <c r="Y8" s="125"/>
      <c r="Z8" s="125"/>
    </row>
    <row r="9" spans="1:26">
      <c r="A9" s="141" t="str">
        <f>'Sintetica (não desonerado)'!A19</f>
        <v>4.1</v>
      </c>
      <c r="B9" s="142" t="str">
        <f>'Sintetica (não desonerado)'!B19</f>
        <v>INFRAESTRUTURA</v>
      </c>
      <c r="C9" s="143">
        <f t="shared" si="0"/>
        <v>9.6798986199165271E-2</v>
      </c>
      <c r="D9" s="144">
        <f>SUM(D10:D12)</f>
        <v>24442.440000000002</v>
      </c>
      <c r="E9" s="145"/>
      <c r="F9" s="146"/>
      <c r="G9" s="145"/>
      <c r="H9" s="146"/>
      <c r="I9" s="145"/>
      <c r="J9" s="146"/>
      <c r="K9" s="145"/>
      <c r="L9" s="147"/>
      <c r="M9" s="139">
        <f t="shared" si="1"/>
        <v>0</v>
      </c>
      <c r="N9" s="125"/>
      <c r="O9" s="125"/>
      <c r="P9" s="125"/>
      <c r="Q9" s="125"/>
      <c r="R9" s="125"/>
      <c r="S9" s="125"/>
      <c r="T9" s="125"/>
      <c r="U9" s="125"/>
      <c r="V9" s="125"/>
      <c r="W9" s="125"/>
      <c r="X9" s="125"/>
      <c r="Y9" s="125"/>
      <c r="Z9" s="125"/>
    </row>
    <row r="10" spans="1:26">
      <c r="A10" s="148" t="str">
        <f>'Sintetica (não desonerado)'!A20</f>
        <v>4.1.1</v>
      </c>
      <c r="B10" s="16" t="str">
        <f>'Sintetica (não desonerado)'!B20</f>
        <v>BLOCOS E VIGAS BALDRAMES</v>
      </c>
      <c r="C10" s="136">
        <f t="shared" si="0"/>
        <v>1.7601518594381412E-2</v>
      </c>
      <c r="D10" s="137">
        <f>ROUND('Sintetica (não desonerado)'!G20*(1+$L$2),2)</f>
        <v>4444.51</v>
      </c>
      <c r="E10" s="134">
        <v>1</v>
      </c>
      <c r="F10" s="135">
        <f>ROUND(E10*$D10,2)</f>
        <v>4444.51</v>
      </c>
      <c r="G10" s="136"/>
      <c r="H10" s="137"/>
      <c r="I10" s="134"/>
      <c r="J10" s="135"/>
      <c r="K10" s="136"/>
      <c r="L10" s="138"/>
      <c r="M10" s="139">
        <f t="shared" si="1"/>
        <v>1</v>
      </c>
      <c r="N10" s="125"/>
      <c r="O10" s="125"/>
      <c r="P10" s="125"/>
      <c r="Q10" s="125"/>
      <c r="R10" s="125"/>
      <c r="S10" s="125"/>
      <c r="T10" s="125"/>
      <c r="U10" s="125"/>
      <c r="V10" s="125"/>
      <c r="W10" s="125"/>
      <c r="X10" s="125"/>
      <c r="Y10" s="125"/>
      <c r="Z10" s="125"/>
    </row>
    <row r="11" spans="1:26">
      <c r="A11" s="148" t="str">
        <f>'Sintetica (não desonerado)'!A30</f>
        <v>4.1.2</v>
      </c>
      <c r="B11" s="16" t="str">
        <f>'Sintetica (não desonerado)'!B30</f>
        <v>LAJE PISO</v>
      </c>
      <c r="C11" s="136">
        <f t="shared" si="0"/>
        <v>4.817811326481436E-2</v>
      </c>
      <c r="D11" s="137">
        <f>ROUND('Sintetica (não desonerado)'!G30*(1+$L$2),2)</f>
        <v>12165.32</v>
      </c>
      <c r="E11" s="134">
        <v>1</v>
      </c>
      <c r="F11" s="135">
        <f>ROUND(E11*$D11,2)</f>
        <v>12165.32</v>
      </c>
      <c r="G11" s="136"/>
      <c r="H11" s="137"/>
      <c r="I11" s="134"/>
      <c r="J11" s="135"/>
      <c r="K11" s="136"/>
      <c r="L11" s="138"/>
      <c r="M11" s="139">
        <f t="shared" si="1"/>
        <v>1</v>
      </c>
      <c r="N11" s="125"/>
      <c r="O11" s="125"/>
      <c r="P11" s="125"/>
      <c r="Q11" s="125"/>
      <c r="R11" s="125"/>
      <c r="S11" s="125"/>
      <c r="T11" s="125"/>
      <c r="U11" s="125"/>
      <c r="V11" s="125"/>
      <c r="W11" s="125"/>
      <c r="X11" s="125"/>
      <c r="Y11" s="125"/>
      <c r="Z11" s="125"/>
    </row>
    <row r="12" spans="1:26">
      <c r="A12" s="148" t="str">
        <f>'Sintetica (não desonerado)'!A34</f>
        <v>4.1.3</v>
      </c>
      <c r="B12" s="16" t="str">
        <f>'Sintetica (não desonerado)'!B34</f>
        <v>ESTRUTURA METÁLICA</v>
      </c>
      <c r="C12" s="136">
        <f t="shared" si="0"/>
        <v>3.1019354339969486E-2</v>
      </c>
      <c r="D12" s="137">
        <f>ROUND('Sintetica (não desonerado)'!G34*(1+$L$2),2)</f>
        <v>7832.61</v>
      </c>
      <c r="E12" s="134">
        <v>1</v>
      </c>
      <c r="F12" s="135">
        <f>ROUND(E12*$D12,2)</f>
        <v>7832.61</v>
      </c>
      <c r="G12" s="136"/>
      <c r="H12" s="137"/>
      <c r="I12" s="134"/>
      <c r="J12" s="135"/>
      <c r="K12" s="136"/>
      <c r="L12" s="138"/>
      <c r="M12" s="139">
        <f t="shared" si="1"/>
        <v>1</v>
      </c>
      <c r="N12" s="125"/>
      <c r="O12" s="125"/>
      <c r="P12" s="125"/>
      <c r="Q12" s="125"/>
      <c r="R12" s="125"/>
      <c r="S12" s="125"/>
      <c r="T12" s="125"/>
      <c r="U12" s="125"/>
      <c r="V12" s="125"/>
      <c r="W12" s="125"/>
      <c r="X12" s="125"/>
      <c r="Y12" s="125"/>
      <c r="Z12" s="125"/>
    </row>
    <row r="13" spans="1:26">
      <c r="A13" s="141" t="str">
        <f>'Sintetica (não desonerado)'!A39</f>
        <v>4.2</v>
      </c>
      <c r="B13" s="142" t="str">
        <f>'Sintetica (não desonerado)'!B39</f>
        <v>COBERTURA</v>
      </c>
      <c r="C13" s="143">
        <f t="shared" si="0"/>
        <v>7.5338963615253884E-2</v>
      </c>
      <c r="D13" s="144">
        <f>ROUND(SUM(D14:D17),2)</f>
        <v>19023.63</v>
      </c>
      <c r="E13" s="145"/>
      <c r="F13" s="146"/>
      <c r="G13" s="145"/>
      <c r="H13" s="146"/>
      <c r="I13" s="145"/>
      <c r="J13" s="146"/>
      <c r="K13" s="145"/>
      <c r="L13" s="147"/>
      <c r="M13" s="139">
        <f t="shared" si="1"/>
        <v>0</v>
      </c>
      <c r="N13" s="125"/>
      <c r="O13" s="125"/>
      <c r="P13" s="125"/>
      <c r="Q13" s="125"/>
      <c r="R13" s="125"/>
      <c r="S13" s="125"/>
      <c r="T13" s="125"/>
      <c r="U13" s="125"/>
      <c r="V13" s="125"/>
      <c r="W13" s="125"/>
      <c r="X13" s="125"/>
      <c r="Y13" s="125"/>
      <c r="Z13" s="125"/>
    </row>
    <row r="14" spans="1:26">
      <c r="A14" s="148" t="str">
        <f>'Sintetica (não desonerado)'!A40</f>
        <v>4.2.1</v>
      </c>
      <c r="B14" s="16" t="str">
        <f>'Sintetica (não desonerado)'!B40</f>
        <v>RETIRADA DE TELHAS</v>
      </c>
      <c r="C14" s="136">
        <f t="shared" si="0"/>
        <v>4.5143268989686987E-4</v>
      </c>
      <c r="D14" s="137">
        <f>ROUND('Sintetica (não desonerado)'!G40*(1+$L$2),2)</f>
        <v>113.99</v>
      </c>
      <c r="E14" s="134">
        <v>1</v>
      </c>
      <c r="F14" s="135">
        <f>ROUND(E14*$D14,2)</f>
        <v>113.99</v>
      </c>
      <c r="G14" s="136"/>
      <c r="H14" s="137"/>
      <c r="I14" s="134"/>
      <c r="J14" s="135"/>
      <c r="K14" s="136"/>
      <c r="L14" s="138"/>
      <c r="M14" s="139">
        <f t="shared" si="1"/>
        <v>1</v>
      </c>
      <c r="N14" s="125"/>
      <c r="O14" s="125"/>
      <c r="P14" s="125"/>
      <c r="Q14" s="125"/>
      <c r="R14" s="125"/>
      <c r="S14" s="125"/>
      <c r="T14" s="125"/>
      <c r="U14" s="125"/>
      <c r="V14" s="125"/>
      <c r="W14" s="125"/>
      <c r="X14" s="125"/>
      <c r="Y14" s="125"/>
      <c r="Z14" s="125"/>
    </row>
    <row r="15" spans="1:26">
      <c r="A15" s="148" t="str">
        <f>'Sintetica (não desonerado)'!A42</f>
        <v>4.2.2</v>
      </c>
      <c r="B15" s="16" t="str">
        <f>'Sintetica (não desonerado)'!B42</f>
        <v>ESTRUTURA METÁLICA DO TELHADO</v>
      </c>
      <c r="C15" s="136">
        <f t="shared" si="0"/>
        <v>2.2228832375030587E-2</v>
      </c>
      <c r="D15" s="137">
        <f>ROUND('Sintetica (não desonerado)'!G42*(1+$L$2),2)</f>
        <v>5612.94</v>
      </c>
      <c r="E15" s="134">
        <v>1</v>
      </c>
      <c r="F15" s="135">
        <f>ROUND(E15*$D15,2)</f>
        <v>5612.94</v>
      </c>
      <c r="G15" s="136"/>
      <c r="H15" s="137"/>
      <c r="I15" s="134"/>
      <c r="J15" s="135"/>
      <c r="K15" s="136"/>
      <c r="L15" s="138"/>
      <c r="M15" s="139">
        <f t="shared" si="1"/>
        <v>1</v>
      </c>
      <c r="N15" s="125"/>
      <c r="O15" s="125"/>
      <c r="P15" s="125"/>
      <c r="Q15" s="125"/>
      <c r="R15" s="125"/>
      <c r="S15" s="125"/>
      <c r="T15" s="125"/>
      <c r="U15" s="125"/>
      <c r="V15" s="125"/>
      <c r="W15" s="125"/>
      <c r="X15" s="125"/>
      <c r="Y15" s="125"/>
      <c r="Z15" s="125"/>
    </row>
    <row r="16" spans="1:26">
      <c r="A16" s="148" t="str">
        <f>'Sintetica (não desonerado)'!A45</f>
        <v>4.2.3</v>
      </c>
      <c r="B16" s="16" t="str">
        <f>'Sintetica (não desonerado)'!B45</f>
        <v>TELHAMENTO EM TELHA METÁLICA</v>
      </c>
      <c r="C16" s="136">
        <f t="shared" si="0"/>
        <v>3.1963881899758968E-2</v>
      </c>
      <c r="D16" s="137">
        <f>ROUND('Sintetica (não desonerado)'!G45*(1+$L$2),2)</f>
        <v>8071.11</v>
      </c>
      <c r="E16" s="134">
        <v>1</v>
      </c>
      <c r="F16" s="135">
        <f>ROUND(E16*$D16,2)</f>
        <v>8071.11</v>
      </c>
      <c r="G16" s="136"/>
      <c r="H16" s="137"/>
      <c r="I16" s="134"/>
      <c r="J16" s="135"/>
      <c r="K16" s="136"/>
      <c r="L16" s="138"/>
      <c r="M16" s="139">
        <f t="shared" si="1"/>
        <v>1</v>
      </c>
      <c r="N16" s="125"/>
      <c r="O16" s="149"/>
      <c r="P16" s="125"/>
      <c r="Q16" s="125"/>
      <c r="R16" s="125"/>
      <c r="S16" s="125"/>
      <c r="T16" s="125"/>
      <c r="U16" s="125"/>
      <c r="V16" s="125"/>
      <c r="W16" s="125"/>
      <c r="X16" s="125"/>
      <c r="Y16" s="125"/>
      <c r="Z16" s="125"/>
    </row>
    <row r="17" spans="1:26">
      <c r="A17" s="148" t="str">
        <f>'Sintetica (não desonerado)'!A47</f>
        <v>4.2.4</v>
      </c>
      <c r="B17" s="16" t="str">
        <f>'Sintetica (não desonerado)'!B47</f>
        <v>INSTALAÇÃO DE CALHAS / CUMEEIRAS / DESCIDAS D'ÁGUA</v>
      </c>
      <c r="C17" s="136">
        <f t="shared" si="0"/>
        <v>2.0694816650567455E-2</v>
      </c>
      <c r="D17" s="137">
        <f>ROUND('Sintetica (não desonerado)'!G47*(1+$L$2),2)</f>
        <v>5225.59</v>
      </c>
      <c r="E17" s="134">
        <v>1</v>
      </c>
      <c r="F17" s="135">
        <f>ROUND(E17*$D17,2)</f>
        <v>5225.59</v>
      </c>
      <c r="G17" s="136"/>
      <c r="H17" s="137"/>
      <c r="I17" s="134"/>
      <c r="J17" s="135"/>
      <c r="K17" s="136"/>
      <c r="L17" s="138"/>
      <c r="M17" s="139">
        <f t="shared" si="1"/>
        <v>1</v>
      </c>
      <c r="N17" s="125"/>
      <c r="O17" s="125"/>
      <c r="P17" s="125"/>
      <c r="Q17" s="125"/>
      <c r="R17" s="125"/>
      <c r="S17" s="125"/>
      <c r="T17" s="125"/>
      <c r="U17" s="125"/>
      <c r="V17" s="125"/>
      <c r="W17" s="125"/>
      <c r="X17" s="125"/>
      <c r="Y17" s="125"/>
      <c r="Z17" s="125"/>
    </row>
    <row r="18" spans="1:26" ht="15.75" customHeight="1">
      <c r="A18" s="141" t="str">
        <f>'Sintetica (não desonerado)'!A53</f>
        <v>4.3</v>
      </c>
      <c r="B18" s="142" t="str">
        <f>'Sintetica (não desonerado)'!B53</f>
        <v>ARQUITETURA</v>
      </c>
      <c r="C18" s="143">
        <f t="shared" si="0"/>
        <v>0.3699927910963644</v>
      </c>
      <c r="D18" s="144">
        <f>ROUND(SUM(D19:D25),2)</f>
        <v>93425.84</v>
      </c>
      <c r="E18" s="145"/>
      <c r="F18" s="146"/>
      <c r="G18" s="145"/>
      <c r="H18" s="146"/>
      <c r="I18" s="145"/>
      <c r="J18" s="146"/>
      <c r="K18" s="145"/>
      <c r="L18" s="147"/>
      <c r="M18" s="139">
        <f t="shared" si="1"/>
        <v>0</v>
      </c>
      <c r="N18" s="125"/>
      <c r="O18" s="125"/>
      <c r="P18" s="125"/>
      <c r="Q18" s="125"/>
      <c r="R18" s="125"/>
      <c r="S18" s="125"/>
      <c r="T18" s="125"/>
      <c r="U18" s="125"/>
      <c r="V18" s="125"/>
      <c r="W18" s="125"/>
      <c r="X18" s="125"/>
      <c r="Y18" s="125"/>
      <c r="Z18" s="125"/>
    </row>
    <row r="19" spans="1:26" ht="15.75" customHeight="1">
      <c r="A19" s="148" t="str">
        <f>'Sintetica (não desonerado)'!A54</f>
        <v>4.3.1</v>
      </c>
      <c r="B19" s="16" t="str">
        <f>'Sintetica (não desonerado)'!B54</f>
        <v>EXECUÇÃO DE ALVENARIA</v>
      </c>
      <c r="C19" s="136">
        <f t="shared" si="0"/>
        <v>1.5148717151380917E-2</v>
      </c>
      <c r="D19" s="137">
        <f>ROUND('Sintetica (não desonerado)'!G54*(1+$L$2),2)</f>
        <v>3825.16</v>
      </c>
      <c r="E19" s="134"/>
      <c r="F19" s="135"/>
      <c r="G19" s="136">
        <v>1</v>
      </c>
      <c r="H19" s="137">
        <f t="shared" ref="H19:H24" si="2">ROUND(G19*$D19,2)</f>
        <v>3825.16</v>
      </c>
      <c r="I19" s="134"/>
      <c r="J19" s="135"/>
      <c r="K19" s="136"/>
      <c r="L19" s="138"/>
      <c r="M19" s="139">
        <f t="shared" si="1"/>
        <v>1</v>
      </c>
      <c r="N19" s="125"/>
      <c r="O19" s="125"/>
      <c r="P19" s="125"/>
      <c r="Q19" s="125"/>
      <c r="R19" s="125"/>
      <c r="S19" s="125"/>
      <c r="T19" s="125"/>
      <c r="U19" s="125"/>
      <c r="V19" s="125"/>
      <c r="W19" s="125"/>
      <c r="X19" s="125"/>
      <c r="Y19" s="125"/>
      <c r="Z19" s="125"/>
    </row>
    <row r="20" spans="1:26" ht="15.75" customHeight="1">
      <c r="A20" s="148" t="str">
        <f>'Sintetica (não desonerado)'!A56</f>
        <v>4.3.2</v>
      </c>
      <c r="B20" s="16" t="str">
        <f>'Sintetica (não desonerado)'!B56</f>
        <v>EXECUÇÃO DE REVESTIMENTO</v>
      </c>
      <c r="C20" s="136">
        <f t="shared" si="0"/>
        <v>5.0519432733776813E-2</v>
      </c>
      <c r="D20" s="137">
        <f>ROUND('Sintetica (não desonerado)'!G56*(1+$L$2),2)</f>
        <v>12756.52</v>
      </c>
      <c r="E20" s="134"/>
      <c r="F20" s="135"/>
      <c r="G20" s="136">
        <v>1</v>
      </c>
      <c r="H20" s="137">
        <f t="shared" si="2"/>
        <v>12756.52</v>
      </c>
      <c r="I20" s="134"/>
      <c r="J20" s="135"/>
      <c r="K20" s="136"/>
      <c r="L20" s="138"/>
      <c r="M20" s="139">
        <f t="shared" si="1"/>
        <v>1</v>
      </c>
      <c r="N20" s="125"/>
      <c r="O20" s="125"/>
      <c r="P20" s="125"/>
      <c r="Q20" s="125"/>
      <c r="R20" s="125"/>
      <c r="S20" s="125"/>
      <c r="T20" s="125"/>
      <c r="U20" s="125"/>
      <c r="V20" s="125"/>
      <c r="W20" s="125"/>
      <c r="X20" s="125"/>
      <c r="Y20" s="125"/>
      <c r="Z20" s="125"/>
    </row>
    <row r="21" spans="1:26" ht="15.75" customHeight="1">
      <c r="A21" s="148" t="str">
        <f>'Sintetica (não desonerado)'!A60</f>
        <v>4.3.3</v>
      </c>
      <c r="B21" s="16" t="str">
        <f>'Sintetica (não desonerado)'!B60</f>
        <v>PINTURA INTERNA PAREDES, BANCADA CONCRETO E PORTAS</v>
      </c>
      <c r="C21" s="136">
        <f t="shared" si="0"/>
        <v>2.2526804088232103E-2</v>
      </c>
      <c r="D21" s="137">
        <f>ROUND('Sintetica (não desonerado)'!G60*(1+$L$2),2)</f>
        <v>5688.18</v>
      </c>
      <c r="E21" s="134"/>
      <c r="F21" s="135"/>
      <c r="G21" s="136">
        <v>1</v>
      </c>
      <c r="H21" s="137">
        <f t="shared" si="2"/>
        <v>5688.18</v>
      </c>
      <c r="I21" s="134"/>
      <c r="J21" s="135"/>
      <c r="K21" s="136"/>
      <c r="L21" s="138"/>
      <c r="M21" s="139">
        <f t="shared" si="1"/>
        <v>1</v>
      </c>
      <c r="N21" s="125"/>
      <c r="O21" s="125"/>
      <c r="P21" s="125"/>
      <c r="Q21" s="125"/>
      <c r="R21" s="125"/>
      <c r="S21" s="125"/>
      <c r="T21" s="125"/>
      <c r="U21" s="125"/>
      <c r="V21" s="125"/>
      <c r="W21" s="125"/>
      <c r="X21" s="125"/>
      <c r="Y21" s="125"/>
      <c r="Z21" s="125"/>
    </row>
    <row r="22" spans="1:26" ht="15.75" customHeight="1">
      <c r="A22" s="148" t="str">
        <f>'Sintetica (não desonerado)'!A65</f>
        <v>4.3.4</v>
      </c>
      <c r="B22" s="16" t="str">
        <f>'Sintetica (não desonerado)'!B65</f>
        <v>PINTURA EXTERNA</v>
      </c>
      <c r="C22" s="136">
        <f t="shared" si="0"/>
        <v>4.6201060650985816E-3</v>
      </c>
      <c r="D22" s="137">
        <f>ROUND('Sintetica (não desonerado)'!G65*(1+$L$2),2)</f>
        <v>1166.6099999999999</v>
      </c>
      <c r="E22" s="134"/>
      <c r="F22" s="135"/>
      <c r="G22" s="136">
        <v>1</v>
      </c>
      <c r="H22" s="137">
        <f t="shared" si="2"/>
        <v>1166.6099999999999</v>
      </c>
      <c r="I22" s="134"/>
      <c r="J22" s="135"/>
      <c r="K22" s="136"/>
      <c r="L22" s="138"/>
      <c r="M22" s="139">
        <f t="shared" si="1"/>
        <v>1</v>
      </c>
      <c r="N22" s="125"/>
      <c r="O22" s="125"/>
      <c r="P22" s="125"/>
      <c r="Q22" s="125"/>
      <c r="R22" s="125"/>
      <c r="S22" s="125"/>
      <c r="T22" s="125"/>
      <c r="U22" s="125"/>
      <c r="V22" s="125"/>
      <c r="W22" s="125"/>
      <c r="X22" s="125"/>
      <c r="Y22" s="125"/>
      <c r="Z22" s="125"/>
    </row>
    <row r="23" spans="1:26" ht="15.75" customHeight="1">
      <c r="A23" s="148" t="str">
        <f>'Sintetica (não desonerado)'!A67</f>
        <v>4.3.5</v>
      </c>
      <c r="B23" s="16" t="str">
        <f>'Sintetica (não desonerado)'!B67</f>
        <v>PISO</v>
      </c>
      <c r="C23" s="136">
        <f t="shared" si="0"/>
        <v>1.3804755421023853E-2</v>
      </c>
      <c r="D23" s="137">
        <f>ROUND('Sintetica (não desonerado)'!G67*(1+$L$2),2)</f>
        <v>3485.8</v>
      </c>
      <c r="E23" s="134"/>
      <c r="F23" s="135"/>
      <c r="G23" s="136">
        <v>1</v>
      </c>
      <c r="H23" s="137">
        <f t="shared" si="2"/>
        <v>3485.8</v>
      </c>
      <c r="I23" s="134"/>
      <c r="J23" s="135"/>
      <c r="K23" s="136"/>
      <c r="L23" s="138"/>
      <c r="M23" s="139">
        <f t="shared" si="1"/>
        <v>1</v>
      </c>
      <c r="N23" s="125"/>
      <c r="O23" s="125"/>
      <c r="P23" s="125"/>
      <c r="Q23" s="125"/>
      <c r="R23" s="125"/>
      <c r="S23" s="125"/>
      <c r="T23" s="125"/>
      <c r="U23" s="125"/>
      <c r="V23" s="125"/>
      <c r="W23" s="125"/>
      <c r="X23" s="125"/>
      <c r="Y23" s="125"/>
      <c r="Z23" s="125"/>
    </row>
    <row r="24" spans="1:26" ht="15.75" customHeight="1">
      <c r="A24" s="148" t="str">
        <f>'Sintetica (não desonerado)'!A71</f>
        <v>4.3.6</v>
      </c>
      <c r="B24" s="16" t="str">
        <f>'Sintetica (não desonerado)'!B71</f>
        <v>ESQUADRIAS (INSTAÇÃO DE JANELAS, PORTAS METÁLICAS E ALAMBRADO)</v>
      </c>
      <c r="C24" s="136">
        <f t="shared" si="0"/>
        <v>0.23251999279703678</v>
      </c>
      <c r="D24" s="137">
        <f>ROUND('Sintetica (não desonerado)'!G71*(1+$L$2),2)</f>
        <v>58712.97</v>
      </c>
      <c r="E24" s="134"/>
      <c r="F24" s="135"/>
      <c r="G24" s="136">
        <v>0.4</v>
      </c>
      <c r="H24" s="137">
        <f t="shared" si="2"/>
        <v>23485.19</v>
      </c>
      <c r="I24" s="134">
        <v>0.6</v>
      </c>
      <c r="J24" s="135">
        <f>ROUND(I24*$D24,2)</f>
        <v>35227.78</v>
      </c>
      <c r="K24" s="136"/>
      <c r="L24" s="138"/>
      <c r="M24" s="139">
        <f t="shared" si="1"/>
        <v>1</v>
      </c>
      <c r="N24" s="125"/>
      <c r="O24" s="125"/>
      <c r="P24" s="125"/>
      <c r="Q24" s="125"/>
      <c r="R24" s="125"/>
      <c r="S24" s="125"/>
      <c r="T24" s="125"/>
      <c r="U24" s="125"/>
      <c r="V24" s="125"/>
      <c r="W24" s="125"/>
      <c r="X24" s="125"/>
      <c r="Y24" s="125"/>
      <c r="Z24" s="125"/>
    </row>
    <row r="25" spans="1:26" ht="15.75" customHeight="1">
      <c r="A25" s="148" t="str">
        <f>'Sintetica (não desonerado)'!A76</f>
        <v>4.3.7</v>
      </c>
      <c r="B25" s="16" t="str">
        <f>'Sintetica (não desonerado)'!B76</f>
        <v>BANCADA</v>
      </c>
      <c r="C25" s="136">
        <f t="shared" si="0"/>
        <v>3.0852982839815375E-2</v>
      </c>
      <c r="D25" s="137">
        <f>ROUND('Sintetica (não desonerado)'!G76*(1+$L$2),2)</f>
        <v>7790.6</v>
      </c>
      <c r="E25" s="134"/>
      <c r="F25" s="135"/>
      <c r="G25" s="136"/>
      <c r="H25" s="137"/>
      <c r="I25" s="134">
        <v>0.7</v>
      </c>
      <c r="J25" s="135">
        <f>ROUND(I25*$D25,2)</f>
        <v>5453.42</v>
      </c>
      <c r="K25" s="136">
        <v>0.3</v>
      </c>
      <c r="L25" s="138">
        <f>ROUND(K25*$D25,2)</f>
        <v>2337.1799999999998</v>
      </c>
      <c r="M25" s="139">
        <f t="shared" si="1"/>
        <v>1</v>
      </c>
      <c r="N25" s="125"/>
      <c r="O25" s="125"/>
      <c r="P25" s="125"/>
      <c r="Q25" s="125"/>
      <c r="R25" s="125"/>
      <c r="S25" s="125"/>
      <c r="T25" s="125"/>
      <c r="U25" s="125"/>
      <c r="V25" s="125"/>
      <c r="W25" s="125"/>
      <c r="X25" s="125"/>
      <c r="Y25" s="125"/>
      <c r="Z25" s="125"/>
    </row>
    <row r="26" spans="1:26" ht="15.75" customHeight="1">
      <c r="A26" s="131" t="str">
        <f>'Sintetica (não desonerado)'!A81</f>
        <v>4.4</v>
      </c>
      <c r="B26" s="140" t="str">
        <f>'Sintetica (não desonerado)'!B81</f>
        <v>PAISAGISMO</v>
      </c>
      <c r="C26" s="133">
        <f t="shared" si="0"/>
        <v>9.3924454190789566E-3</v>
      </c>
      <c r="D26" s="127">
        <f>ROUND('Sintetica (não desonerado)'!G85*(1+$L$2),2)</f>
        <v>2371.66</v>
      </c>
      <c r="E26" s="134"/>
      <c r="F26" s="135"/>
      <c r="G26" s="136"/>
      <c r="H26" s="137"/>
      <c r="I26" s="134"/>
      <c r="J26" s="135"/>
      <c r="K26" s="136">
        <v>1</v>
      </c>
      <c r="L26" s="138">
        <f>ROUND(K26*$D26,2)</f>
        <v>2371.66</v>
      </c>
      <c r="M26" s="139">
        <f t="shared" si="1"/>
        <v>1</v>
      </c>
      <c r="N26" s="125"/>
      <c r="O26" s="125"/>
      <c r="P26" s="125"/>
      <c r="Q26" s="125"/>
      <c r="R26" s="125"/>
      <c r="S26" s="125"/>
      <c r="T26" s="125"/>
      <c r="U26" s="125"/>
      <c r="V26" s="125"/>
      <c r="W26" s="125"/>
      <c r="X26" s="125"/>
      <c r="Y26" s="125"/>
      <c r="Z26" s="125"/>
    </row>
    <row r="27" spans="1:26" ht="15.75" customHeight="1">
      <c r="A27" s="131" t="str">
        <f>'Sintetica (não desonerado)'!A87</f>
        <v>4.5</v>
      </c>
      <c r="B27" s="140" t="str">
        <f>'Sintetica (não desonerado)'!B87</f>
        <v>COMBATE A INCENDIO</v>
      </c>
      <c r="C27" s="133">
        <f t="shared" si="0"/>
        <v>1.5999940437339626E-3</v>
      </c>
      <c r="D27" s="127">
        <f>ROUND('Sintetica (não desonerado)'!G90*(1+$L$2),2)</f>
        <v>404.01</v>
      </c>
      <c r="E27" s="134"/>
      <c r="F27" s="135"/>
      <c r="G27" s="136"/>
      <c r="H27" s="137"/>
      <c r="I27" s="134">
        <v>1</v>
      </c>
      <c r="J27" s="135">
        <f>ROUND(I27*$D27,2)</f>
        <v>404.01</v>
      </c>
      <c r="K27" s="136"/>
      <c r="L27" s="138"/>
      <c r="M27" s="139">
        <f t="shared" si="1"/>
        <v>1</v>
      </c>
      <c r="N27" s="125"/>
      <c r="O27" s="125"/>
      <c r="P27" s="125"/>
      <c r="Q27" s="125"/>
      <c r="R27" s="125"/>
      <c r="S27" s="125"/>
      <c r="T27" s="125"/>
      <c r="U27" s="125"/>
      <c r="V27" s="125"/>
      <c r="W27" s="125"/>
      <c r="X27" s="125"/>
      <c r="Y27" s="125"/>
      <c r="Z27" s="125"/>
    </row>
    <row r="28" spans="1:26" ht="15.75" customHeight="1">
      <c r="A28" s="141" t="str">
        <f>'Sintetica (não desonerado)'!A92</f>
        <v>4.6</v>
      </c>
      <c r="B28" s="142" t="str">
        <f>'Sintetica (não desonerado)'!B92</f>
        <v>INSTALAÇÕES HIDROSSANITÁRIAS</v>
      </c>
      <c r="C28" s="143">
        <f t="shared" si="0"/>
        <v>5.5542656032883657E-2</v>
      </c>
      <c r="D28" s="144">
        <f>ROUND(SUM(D29:D30),2)</f>
        <v>14024.92</v>
      </c>
      <c r="E28" s="145"/>
      <c r="F28" s="146"/>
      <c r="G28" s="145"/>
      <c r="H28" s="146"/>
      <c r="I28" s="145"/>
      <c r="J28" s="146"/>
      <c r="K28" s="145"/>
      <c r="L28" s="147"/>
      <c r="M28" s="139">
        <f t="shared" si="1"/>
        <v>0</v>
      </c>
      <c r="N28" s="125"/>
      <c r="O28" s="125"/>
      <c r="P28" s="125"/>
      <c r="Q28" s="125"/>
      <c r="R28" s="125"/>
      <c r="S28" s="125"/>
      <c r="T28" s="125"/>
      <c r="U28" s="125"/>
      <c r="V28" s="125"/>
      <c r="W28" s="125"/>
      <c r="X28" s="125"/>
      <c r="Y28" s="125"/>
      <c r="Z28" s="125"/>
    </row>
    <row r="29" spans="1:26" ht="15.75" customHeight="1">
      <c r="A29" s="148" t="str">
        <f>'Sintetica (não desonerado)'!A93</f>
        <v>4.6.1</v>
      </c>
      <c r="B29" s="16" t="str">
        <f>'Sintetica (não desonerado)'!B93</f>
        <v>INSTALAÇÕES SANITÁRIAS, APARELHOS SANITÁRIOS E ACESSÓRIOS</v>
      </c>
      <c r="C29" s="136">
        <f t="shared" si="0"/>
        <v>4.4594017303032044E-2</v>
      </c>
      <c r="D29" s="137">
        <f>ROUND('Sintetica (não desonerado)'!G93*(1+$L$2),2)</f>
        <v>11260.31</v>
      </c>
      <c r="E29" s="134"/>
      <c r="F29" s="135"/>
      <c r="G29" s="136"/>
      <c r="H29" s="137"/>
      <c r="I29" s="134">
        <v>1</v>
      </c>
      <c r="J29" s="135">
        <f>ROUND(I29*$D29,2)</f>
        <v>11260.31</v>
      </c>
      <c r="K29" s="136"/>
      <c r="L29" s="138"/>
      <c r="M29" s="139">
        <f t="shared" si="1"/>
        <v>1</v>
      </c>
      <c r="N29" s="125"/>
      <c r="O29" s="125"/>
      <c r="P29" s="125"/>
      <c r="Q29" s="125"/>
      <c r="R29" s="125"/>
      <c r="S29" s="125"/>
      <c r="T29" s="125"/>
      <c r="U29" s="125"/>
      <c r="V29" s="125"/>
      <c r="W29" s="125"/>
      <c r="X29" s="125"/>
      <c r="Y29" s="125"/>
      <c r="Z29" s="125"/>
    </row>
    <row r="30" spans="1:26" ht="15.75" customHeight="1">
      <c r="A30" s="148" t="str">
        <f>'Sintetica (não desonerado)'!A121</f>
        <v>4.6.2</v>
      </c>
      <c r="B30" s="16" t="str">
        <f>'Sintetica (não desonerado)'!B121</f>
        <v>INSTALAÇÕES HIDRÁULICAS</v>
      </c>
      <c r="C30" s="136">
        <f t="shared" si="0"/>
        <v>1.0948638729851613E-2</v>
      </c>
      <c r="D30" s="137">
        <f>ROUND('Sintetica (não desonerado)'!G121*(1+$L$2),2)</f>
        <v>2764.61</v>
      </c>
      <c r="E30" s="134"/>
      <c r="F30" s="135"/>
      <c r="G30" s="136"/>
      <c r="H30" s="137"/>
      <c r="I30" s="134">
        <v>1</v>
      </c>
      <c r="J30" s="135">
        <f>ROUND(I30*$D30,2)</f>
        <v>2764.61</v>
      </c>
      <c r="K30" s="136"/>
      <c r="L30" s="138"/>
      <c r="M30" s="139">
        <f t="shared" si="1"/>
        <v>1</v>
      </c>
      <c r="N30" s="125"/>
      <c r="O30" s="125"/>
      <c r="P30" s="125"/>
      <c r="Q30" s="125"/>
      <c r="R30" s="125"/>
      <c r="S30" s="125"/>
      <c r="T30" s="125"/>
      <c r="U30" s="125"/>
      <c r="V30" s="125"/>
      <c r="W30" s="125"/>
      <c r="X30" s="125"/>
      <c r="Y30" s="125"/>
      <c r="Z30" s="125"/>
    </row>
    <row r="31" spans="1:26" ht="15.75" customHeight="1">
      <c r="A31" s="131" t="str">
        <f>'Sintetica (não desonerado)'!A133</f>
        <v>4.7</v>
      </c>
      <c r="B31" s="140" t="str">
        <f>'Sintetica (não desonerado)'!B133</f>
        <v>INSTALAÇÕES ELÉTRICAS</v>
      </c>
      <c r="C31" s="133">
        <f t="shared" si="0"/>
        <v>4.4865653132490996E-2</v>
      </c>
      <c r="D31" s="127">
        <f>ROUND('Sintetica (não desonerado)'!G151*(1+$L$2),2)</f>
        <v>11328.9</v>
      </c>
      <c r="E31" s="134"/>
      <c r="F31" s="135"/>
      <c r="G31" s="136"/>
      <c r="H31" s="137"/>
      <c r="I31" s="134">
        <v>1</v>
      </c>
      <c r="J31" s="135">
        <f>ROUND(I31*$D31,2)</f>
        <v>11328.9</v>
      </c>
      <c r="K31" s="136"/>
      <c r="L31" s="138"/>
      <c r="M31" s="139">
        <f t="shared" si="1"/>
        <v>1</v>
      </c>
      <c r="N31" s="125"/>
      <c r="O31" s="125"/>
      <c r="P31" s="125"/>
      <c r="Q31" s="125"/>
      <c r="R31" s="125"/>
      <c r="S31" s="125"/>
      <c r="T31" s="125"/>
      <c r="U31" s="125"/>
      <c r="V31" s="125"/>
      <c r="W31" s="125"/>
      <c r="X31" s="125"/>
      <c r="Y31" s="125"/>
      <c r="Z31" s="125"/>
    </row>
    <row r="32" spans="1:26" ht="15.75" customHeight="1">
      <c r="A32" s="131" t="str">
        <f>'Sintetica (não desonerado)'!A153</f>
        <v>4.8</v>
      </c>
      <c r="B32" s="140" t="str">
        <f>'Sintetica (não desonerado)'!B153</f>
        <v>SERVIÇOS COMPLEMENTARES</v>
      </c>
      <c r="C32" s="133">
        <f t="shared" si="0"/>
        <v>1.1825801871225923E-2</v>
      </c>
      <c r="D32" s="127">
        <f>ROUND('Sintetica (não desonerado)'!G158*(1+$L$2),2)</f>
        <v>2986.1</v>
      </c>
      <c r="E32" s="134"/>
      <c r="F32" s="135"/>
      <c r="G32" s="136"/>
      <c r="H32" s="137"/>
      <c r="I32" s="134"/>
      <c r="J32" s="135"/>
      <c r="K32" s="136">
        <v>1</v>
      </c>
      <c r="L32" s="138">
        <f>ROUND(K32*$D32,2)</f>
        <v>2986.1</v>
      </c>
      <c r="M32" s="139">
        <f t="shared" si="1"/>
        <v>1</v>
      </c>
      <c r="N32" s="125"/>
      <c r="O32" s="125"/>
      <c r="P32" s="125"/>
      <c r="Q32" s="125"/>
      <c r="R32" s="125"/>
      <c r="S32" s="125"/>
      <c r="T32" s="125"/>
      <c r="U32" s="125"/>
      <c r="V32" s="125"/>
      <c r="W32" s="125"/>
      <c r="X32" s="125"/>
      <c r="Y32" s="125"/>
      <c r="Z32" s="125"/>
    </row>
    <row r="33" spans="1:26" ht="15.75" customHeight="1">
      <c r="A33" s="141">
        <f>'Sintetica (não desonerado)'!A160</f>
        <v>5</v>
      </c>
      <c r="B33" s="142" t="str">
        <f>'Sintetica (não desonerado)'!B160</f>
        <v>ABRIGO TEMPORÁRIO DE RESÍDUOS INFECTANTES (4 UNIDADES)</v>
      </c>
      <c r="C33" s="143">
        <f t="shared" si="0"/>
        <v>0.18911200112757184</v>
      </c>
      <c r="D33" s="144">
        <f>ROUND(SUM(D34,D37,D40,D47,D48),2)</f>
        <v>47752.14</v>
      </c>
      <c r="E33" s="145"/>
      <c r="F33" s="146"/>
      <c r="G33" s="145"/>
      <c r="H33" s="146"/>
      <c r="I33" s="145"/>
      <c r="J33" s="146"/>
      <c r="K33" s="145"/>
      <c r="L33" s="147"/>
      <c r="M33" s="139">
        <f t="shared" si="1"/>
        <v>0</v>
      </c>
      <c r="N33" s="125"/>
      <c r="O33" s="125"/>
      <c r="P33" s="125"/>
      <c r="Q33" s="125"/>
      <c r="R33" s="125"/>
      <c r="S33" s="125"/>
      <c r="T33" s="125"/>
      <c r="U33" s="125"/>
      <c r="V33" s="125"/>
      <c r="W33" s="125"/>
      <c r="X33" s="125"/>
      <c r="Y33" s="125"/>
      <c r="Z33" s="125"/>
    </row>
    <row r="34" spans="1:26" ht="15.75" customHeight="1">
      <c r="A34" s="141" t="str">
        <f>'Sintetica (não desonerado)'!A161</f>
        <v>5.1</v>
      </c>
      <c r="B34" s="142" t="str">
        <f>'Sintetica (não desonerado)'!B161</f>
        <v>INFRAESTRUTURA</v>
      </c>
      <c r="C34" s="143">
        <f t="shared" si="0"/>
        <v>3.8590940717371257E-2</v>
      </c>
      <c r="D34" s="144">
        <f>ROUND(SUM(D35:D36),2)</f>
        <v>9744.49</v>
      </c>
      <c r="E34" s="145"/>
      <c r="F34" s="146"/>
      <c r="G34" s="145"/>
      <c r="H34" s="146"/>
      <c r="I34" s="145"/>
      <c r="J34" s="146"/>
      <c r="K34" s="145"/>
      <c r="L34" s="147"/>
      <c r="M34" s="139">
        <f t="shared" si="1"/>
        <v>0</v>
      </c>
      <c r="N34" s="125"/>
      <c r="O34" s="125"/>
      <c r="P34" s="125"/>
      <c r="Q34" s="125"/>
      <c r="R34" s="125"/>
      <c r="S34" s="125"/>
      <c r="T34" s="125"/>
      <c r="U34" s="125"/>
      <c r="V34" s="125"/>
      <c r="W34" s="125"/>
      <c r="X34" s="125"/>
      <c r="Y34" s="125"/>
      <c r="Z34" s="125"/>
    </row>
    <row r="35" spans="1:26" ht="15.75" customHeight="1">
      <c r="A35" s="148" t="str">
        <f>'Sintetica (não desonerado)'!A162</f>
        <v>5.1.1</v>
      </c>
      <c r="B35" s="16" t="str">
        <f>'Sintetica (não desonerado)'!B162</f>
        <v>VIGAS BALDRAMES E CINTAS DE AMARRAÇÃO</v>
      </c>
      <c r="C35" s="136">
        <f t="shared" si="0"/>
        <v>3.059770298025969E-2</v>
      </c>
      <c r="D35" s="137">
        <f>ROUND('Sintetica (não desonerado)'!G162*(1+$L$2),2)</f>
        <v>7726.14</v>
      </c>
      <c r="E35" s="134"/>
      <c r="F35" s="135"/>
      <c r="G35" s="136"/>
      <c r="H35" s="137"/>
      <c r="I35" s="134">
        <v>1</v>
      </c>
      <c r="J35" s="135">
        <f>ROUND(I35*$D35,2)</f>
        <v>7726.14</v>
      </c>
      <c r="K35" s="136"/>
      <c r="L35" s="138"/>
      <c r="M35" s="139">
        <f t="shared" si="1"/>
        <v>1</v>
      </c>
      <c r="N35" s="125"/>
      <c r="O35" s="125"/>
      <c r="P35" s="125"/>
      <c r="Q35" s="125"/>
      <c r="R35" s="125"/>
      <c r="S35" s="125"/>
      <c r="T35" s="125"/>
      <c r="U35" s="125"/>
      <c r="V35" s="125"/>
      <c r="W35" s="125"/>
      <c r="X35" s="125"/>
      <c r="Y35" s="125"/>
      <c r="Z35" s="125"/>
    </row>
    <row r="36" spans="1:26" ht="15.75" customHeight="1">
      <c r="A36" s="148" t="str">
        <f>'Sintetica (não desonerado)'!A173</f>
        <v>5.1.2</v>
      </c>
      <c r="B36" s="16" t="str">
        <f>'Sintetica (não desonerado)'!B173</f>
        <v xml:space="preserve">LAJE PISO </v>
      </c>
      <c r="C36" s="136">
        <f t="shared" si="0"/>
        <v>7.9932377371115648E-3</v>
      </c>
      <c r="D36" s="137">
        <f>ROUND('Sintetica (não desonerado)'!G173*(1+$L$2),2)</f>
        <v>2018.35</v>
      </c>
      <c r="E36" s="134"/>
      <c r="F36" s="135"/>
      <c r="G36" s="136"/>
      <c r="H36" s="137"/>
      <c r="I36" s="134">
        <v>1</v>
      </c>
      <c r="J36" s="135">
        <f>ROUND(I36*$D36,2)</f>
        <v>2018.35</v>
      </c>
      <c r="K36" s="136"/>
      <c r="L36" s="138"/>
      <c r="M36" s="139">
        <f t="shared" si="1"/>
        <v>1</v>
      </c>
      <c r="N36" s="125"/>
      <c r="O36" s="125"/>
      <c r="P36" s="125"/>
      <c r="Q36" s="125"/>
      <c r="R36" s="125"/>
      <c r="S36" s="125"/>
      <c r="T36" s="125"/>
      <c r="U36" s="125"/>
      <c r="V36" s="125"/>
      <c r="W36" s="125"/>
      <c r="X36" s="125"/>
      <c r="Y36" s="125"/>
      <c r="Z36" s="125"/>
    </row>
    <row r="37" spans="1:26" ht="15.75" customHeight="1">
      <c r="A37" s="141" t="str">
        <f>'Sintetica (não desonerado)'!A178</f>
        <v>5.2</v>
      </c>
      <c r="B37" s="142" t="str">
        <f>'Sintetica (não desonerado)'!B178</f>
        <v>COBERTURA</v>
      </c>
      <c r="C37" s="143">
        <f t="shared" si="0"/>
        <v>1.5898675994137038E-2</v>
      </c>
      <c r="D37" s="144">
        <f>ROUND(SUM(D38:D39),2)</f>
        <v>4014.53</v>
      </c>
      <c r="E37" s="145"/>
      <c r="F37" s="146"/>
      <c r="G37" s="145"/>
      <c r="H37" s="146"/>
      <c r="I37" s="145"/>
      <c r="J37" s="146"/>
      <c r="K37" s="145"/>
      <c r="L37" s="147"/>
      <c r="M37" s="139">
        <f t="shared" si="1"/>
        <v>0</v>
      </c>
      <c r="N37" s="125"/>
      <c r="O37" s="125"/>
      <c r="P37" s="125"/>
      <c r="Q37" s="125"/>
      <c r="R37" s="125"/>
      <c r="S37" s="125"/>
      <c r="T37" s="125"/>
      <c r="U37" s="125"/>
      <c r="V37" s="125"/>
      <c r="W37" s="125"/>
      <c r="X37" s="125"/>
      <c r="Y37" s="125"/>
      <c r="Z37" s="125"/>
    </row>
    <row r="38" spans="1:26" ht="15.75" customHeight="1">
      <c r="A38" s="148" t="str">
        <f>'Sintetica (não desonerado)'!A179</f>
        <v>5.2.1</v>
      </c>
      <c r="B38" s="16" t="str">
        <f>'Sintetica (não desonerado)'!B179</f>
        <v>ESTRUTURA METÁLICA DO TELHADO</v>
      </c>
      <c r="C38" s="136">
        <f t="shared" si="0"/>
        <v>7.7025925479587334E-3</v>
      </c>
      <c r="D38" s="137">
        <f>ROUND('Sintetica (não desonerado)'!G179*(1+$L$2),2)</f>
        <v>1944.96</v>
      </c>
      <c r="E38" s="134"/>
      <c r="F38" s="135"/>
      <c r="G38" s="136"/>
      <c r="H38" s="137"/>
      <c r="I38" s="134">
        <v>1</v>
      </c>
      <c r="J38" s="135">
        <f>ROUND(I38*$D38,2)</f>
        <v>1944.96</v>
      </c>
      <c r="K38" s="136"/>
      <c r="L38" s="138"/>
      <c r="M38" s="139">
        <f t="shared" si="1"/>
        <v>1</v>
      </c>
      <c r="N38" s="125"/>
      <c r="O38" s="125"/>
      <c r="P38" s="125"/>
      <c r="Q38" s="125"/>
      <c r="R38" s="125"/>
      <c r="S38" s="125"/>
      <c r="T38" s="125"/>
      <c r="U38" s="125"/>
      <c r="V38" s="125"/>
      <c r="W38" s="125"/>
      <c r="X38" s="125"/>
      <c r="Y38" s="125"/>
      <c r="Z38" s="125"/>
    </row>
    <row r="39" spans="1:26" ht="15.75" customHeight="1">
      <c r="A39" s="148" t="str">
        <f>'Sintetica (não desonerado)'!A182</f>
        <v>5.2.2</v>
      </c>
      <c r="B39" s="16" t="str">
        <f>'Sintetica (não desonerado)'!B182</f>
        <v>TELHAMENTO EM TELHA COLONIAL</v>
      </c>
      <c r="C39" s="136">
        <f t="shared" si="0"/>
        <v>8.1960834461783059E-3</v>
      </c>
      <c r="D39" s="137">
        <f>ROUND('Sintetica (não desonerado)'!G182*(1+$L$2),2)</f>
        <v>2069.5700000000002</v>
      </c>
      <c r="E39" s="134"/>
      <c r="F39" s="135"/>
      <c r="G39" s="136"/>
      <c r="H39" s="137"/>
      <c r="I39" s="134">
        <v>1</v>
      </c>
      <c r="J39" s="135">
        <f>ROUND(I39*$D39,2)</f>
        <v>2069.5700000000002</v>
      </c>
      <c r="K39" s="136"/>
      <c r="L39" s="138"/>
      <c r="M39" s="139">
        <f t="shared" si="1"/>
        <v>1</v>
      </c>
      <c r="N39" s="125"/>
      <c r="O39" s="125"/>
      <c r="P39" s="125"/>
      <c r="Q39" s="125"/>
      <c r="R39" s="125"/>
      <c r="S39" s="125"/>
      <c r="T39" s="125"/>
      <c r="U39" s="125"/>
      <c r="V39" s="125"/>
      <c r="W39" s="125"/>
      <c r="X39" s="125"/>
      <c r="Y39" s="125"/>
      <c r="Z39" s="125"/>
    </row>
    <row r="40" spans="1:26" ht="15.75" customHeight="1">
      <c r="A40" s="141" t="str">
        <f>'Sintetica (não desonerado)'!A185</f>
        <v>5.3</v>
      </c>
      <c r="B40" s="142" t="str">
        <f>'Sintetica (não desonerado)'!B185</f>
        <v>ARQUITETURA</v>
      </c>
      <c r="C40" s="143">
        <f t="shared" si="0"/>
        <v>0.11515105767879323</v>
      </c>
      <c r="D40" s="144">
        <f>ROUND(SUM(D41:D46),2)</f>
        <v>29076.47</v>
      </c>
      <c r="E40" s="145"/>
      <c r="F40" s="146"/>
      <c r="G40" s="145"/>
      <c r="H40" s="146"/>
      <c r="I40" s="145"/>
      <c r="J40" s="146"/>
      <c r="K40" s="145"/>
      <c r="L40" s="147"/>
      <c r="M40" s="139">
        <f t="shared" si="1"/>
        <v>0</v>
      </c>
      <c r="N40" s="125"/>
      <c r="O40" s="125"/>
      <c r="P40" s="125"/>
      <c r="Q40" s="125"/>
      <c r="R40" s="125"/>
      <c r="S40" s="125"/>
      <c r="T40" s="125"/>
      <c r="U40" s="125"/>
      <c r="V40" s="125"/>
      <c r="W40" s="125"/>
      <c r="X40" s="125"/>
      <c r="Y40" s="125"/>
      <c r="Z40" s="125"/>
    </row>
    <row r="41" spans="1:26" ht="15.75" customHeight="1">
      <c r="A41" s="148" t="str">
        <f>'Sintetica (não desonerado)'!A186</f>
        <v>5.3.1</v>
      </c>
      <c r="B41" s="16" t="str">
        <f>'Sintetica (não desonerado)'!B186</f>
        <v>EXECUÇÃO DE ALVENARIA</v>
      </c>
      <c r="C41" s="136">
        <f t="shared" si="0"/>
        <v>1.4461409989949197E-2</v>
      </c>
      <c r="D41" s="137">
        <f>ROUND('Sintetica (não desonerado)'!G186*(1+$L$2),2)</f>
        <v>3651.61</v>
      </c>
      <c r="E41" s="134"/>
      <c r="F41" s="135"/>
      <c r="G41" s="136"/>
      <c r="H41" s="137"/>
      <c r="I41" s="134">
        <v>1</v>
      </c>
      <c r="J41" s="135">
        <f>ROUND(I41*$D41,2)</f>
        <v>3651.61</v>
      </c>
      <c r="K41" s="136"/>
      <c r="L41" s="138"/>
      <c r="M41" s="139">
        <f t="shared" si="1"/>
        <v>1</v>
      </c>
      <c r="N41" s="125"/>
      <c r="O41" s="125"/>
      <c r="P41" s="125"/>
      <c r="Q41" s="125"/>
      <c r="R41" s="125"/>
      <c r="S41" s="125"/>
      <c r="T41" s="125"/>
      <c r="U41" s="125"/>
      <c r="V41" s="125"/>
      <c r="W41" s="125"/>
      <c r="X41" s="125"/>
      <c r="Y41" s="125"/>
      <c r="Z41" s="125"/>
    </row>
    <row r="42" spans="1:26" ht="15.75" customHeight="1">
      <c r="A42" s="148" t="str">
        <f>'Sintetica (não desonerado)'!A188</f>
        <v>5.3.2</v>
      </c>
      <c r="B42" s="16" t="str">
        <f>'Sintetica (não desonerado)'!B188</f>
        <v>EXECUÇÃO DE REVESTIMENTO</v>
      </c>
      <c r="C42" s="136">
        <f t="shared" si="0"/>
        <v>3.7779478675438904E-2</v>
      </c>
      <c r="D42" s="137">
        <f>ROUND('Sintetica (não desonerado)'!G188*(1+$L$2),2)</f>
        <v>9539.59</v>
      </c>
      <c r="E42" s="134"/>
      <c r="F42" s="135"/>
      <c r="G42" s="136"/>
      <c r="H42" s="137"/>
      <c r="I42" s="134">
        <v>1</v>
      </c>
      <c r="J42" s="135">
        <f>ROUND(I42*$D42,2)</f>
        <v>9539.59</v>
      </c>
      <c r="K42" s="136"/>
      <c r="L42" s="138"/>
      <c r="M42" s="139">
        <f t="shared" si="1"/>
        <v>1</v>
      </c>
      <c r="N42" s="125"/>
      <c r="O42" s="125"/>
      <c r="P42" s="125"/>
      <c r="Q42" s="125"/>
      <c r="R42" s="125"/>
      <c r="S42" s="125"/>
      <c r="T42" s="125"/>
      <c r="U42" s="125"/>
      <c r="V42" s="125"/>
      <c r="W42" s="125"/>
      <c r="X42" s="125"/>
      <c r="Y42" s="125"/>
      <c r="Z42" s="125"/>
    </row>
    <row r="43" spans="1:26" ht="15.75" customHeight="1">
      <c r="A43" s="148" t="str">
        <f>'Sintetica (não desonerado)'!A192</f>
        <v>5.3.3</v>
      </c>
      <c r="B43" s="16" t="str">
        <f>'Sintetica (não desonerado)'!B192</f>
        <v>PINTURA DE PORTAS</v>
      </c>
      <c r="C43" s="136">
        <f t="shared" si="0"/>
        <v>1.1839940082498245E-2</v>
      </c>
      <c r="D43" s="137">
        <f>ROUND('Sintetica (não desonerado)'!G192*(1+$L$2),2)</f>
        <v>2989.67</v>
      </c>
      <c r="E43" s="134"/>
      <c r="F43" s="135"/>
      <c r="G43" s="136"/>
      <c r="H43" s="137"/>
      <c r="I43" s="134"/>
      <c r="J43" s="135"/>
      <c r="K43" s="136">
        <v>1</v>
      </c>
      <c r="L43" s="138">
        <f t="shared" ref="L43:L48" si="3">ROUND(K43*$D43,2)</f>
        <v>2989.67</v>
      </c>
      <c r="M43" s="139">
        <f t="shared" si="1"/>
        <v>1</v>
      </c>
      <c r="N43" s="125"/>
      <c r="O43" s="125"/>
      <c r="P43" s="125"/>
      <c r="Q43" s="125"/>
      <c r="R43" s="125"/>
      <c r="S43" s="125"/>
      <c r="T43" s="125"/>
      <c r="U43" s="125"/>
      <c r="V43" s="125"/>
      <c r="W43" s="125"/>
      <c r="X43" s="125"/>
      <c r="Y43" s="125"/>
      <c r="Z43" s="125"/>
    </row>
    <row r="44" spans="1:26" ht="15.75" customHeight="1">
      <c r="A44" s="148" t="str">
        <f>'Sintetica (não desonerado)'!A195</f>
        <v>5.3.4</v>
      </c>
      <c r="B44" s="16" t="str">
        <f>'Sintetica (não desonerado)'!B195</f>
        <v>PINTURA EXTERNA</v>
      </c>
      <c r="C44" s="136">
        <f t="shared" si="0"/>
        <v>4.7418451728047815E-3</v>
      </c>
      <c r="D44" s="137">
        <f>ROUND('Sintetica (não desonerado)'!G195*(1+$L$2),2)</f>
        <v>1197.3499999999999</v>
      </c>
      <c r="E44" s="134"/>
      <c r="F44" s="135"/>
      <c r="G44" s="136"/>
      <c r="H44" s="137"/>
      <c r="I44" s="134"/>
      <c r="J44" s="135"/>
      <c r="K44" s="136">
        <v>1</v>
      </c>
      <c r="L44" s="138">
        <f t="shared" si="3"/>
        <v>1197.3499999999999</v>
      </c>
      <c r="M44" s="139">
        <f t="shared" si="1"/>
        <v>1</v>
      </c>
      <c r="N44" s="125"/>
      <c r="O44" s="125"/>
      <c r="P44" s="125"/>
      <c r="Q44" s="125"/>
      <c r="R44" s="125"/>
      <c r="S44" s="125"/>
      <c r="T44" s="125"/>
      <c r="U44" s="125"/>
      <c r="V44" s="125"/>
      <c r="W44" s="125"/>
      <c r="X44" s="125"/>
      <c r="Y44" s="125"/>
      <c r="Z44" s="125"/>
    </row>
    <row r="45" spans="1:26" ht="15.75" customHeight="1">
      <c r="A45" s="148" t="str">
        <f>'Sintetica (não desonerado)'!A198</f>
        <v>5.3.5</v>
      </c>
      <c r="B45" s="16" t="str">
        <f>'Sintetica (não desonerado)'!B198</f>
        <v>PISO</v>
      </c>
      <c r="C45" s="136">
        <f t="shared" si="0"/>
        <v>2.8009895480599978E-3</v>
      </c>
      <c r="D45" s="137">
        <f>ROUND('Sintetica (não desonerado)'!G198*(1+$L$2),2)</f>
        <v>707.27</v>
      </c>
      <c r="E45" s="134"/>
      <c r="F45" s="135"/>
      <c r="G45" s="136"/>
      <c r="H45" s="137"/>
      <c r="I45" s="134"/>
      <c r="J45" s="135"/>
      <c r="K45" s="136">
        <v>1</v>
      </c>
      <c r="L45" s="138">
        <f t="shared" si="3"/>
        <v>707.27</v>
      </c>
      <c r="M45" s="139">
        <f t="shared" si="1"/>
        <v>1</v>
      </c>
      <c r="N45" s="125"/>
      <c r="O45" s="125"/>
      <c r="P45" s="125"/>
      <c r="Q45" s="125"/>
      <c r="R45" s="125"/>
      <c r="S45" s="125"/>
      <c r="T45" s="125"/>
      <c r="U45" s="125"/>
      <c r="V45" s="125"/>
      <c r="W45" s="125"/>
      <c r="X45" s="125"/>
      <c r="Y45" s="125"/>
      <c r="Z45" s="125"/>
    </row>
    <row r="46" spans="1:26" ht="15.75" customHeight="1">
      <c r="A46" s="148" t="str">
        <f>'Sintetica (não desonerado)'!A200</f>
        <v>5.3.6</v>
      </c>
      <c r="B46" s="16" t="str">
        <f>'Sintetica (não desonerado)'!B200</f>
        <v>ESQUADRIAS (PORTAS METÁLICAS)</v>
      </c>
      <c r="C46" s="136">
        <f t="shared" si="0"/>
        <v>4.3527394210042099E-2</v>
      </c>
      <c r="D46" s="137">
        <f>ROUND('Sintetica (não desonerado)'!G200*(1+$L$2),2)</f>
        <v>10990.98</v>
      </c>
      <c r="E46" s="134"/>
      <c r="F46" s="135"/>
      <c r="G46" s="136"/>
      <c r="H46" s="137"/>
      <c r="I46" s="134"/>
      <c r="J46" s="135"/>
      <c r="K46" s="136">
        <v>1</v>
      </c>
      <c r="L46" s="138">
        <f t="shared" si="3"/>
        <v>10990.98</v>
      </c>
      <c r="M46" s="139">
        <f t="shared" si="1"/>
        <v>1</v>
      </c>
      <c r="N46" s="125"/>
      <c r="O46" s="125"/>
      <c r="P46" s="125"/>
      <c r="Q46" s="125"/>
      <c r="R46" s="125"/>
      <c r="S46" s="125"/>
      <c r="T46" s="125"/>
      <c r="U46" s="125"/>
      <c r="V46" s="125"/>
      <c r="W46" s="125"/>
      <c r="X46" s="125"/>
      <c r="Y46" s="125"/>
      <c r="Z46" s="125"/>
    </row>
    <row r="47" spans="1:26" ht="15.75" customHeight="1">
      <c r="A47" s="131" t="str">
        <f>'Sintetica (não desonerado)'!A204</f>
        <v>5.4</v>
      </c>
      <c r="B47" s="140" t="str">
        <f>'Sintetica (não desonerado)'!B204</f>
        <v>INSTALAÇÕES HIDROSSANITÁRIAS</v>
      </c>
      <c r="C47" s="133">
        <f t="shared" si="0"/>
        <v>7.4479859365588763E-3</v>
      </c>
      <c r="D47" s="127">
        <f>ROUND('Sintetica (não desonerado)'!G213*(1+$L$2),2)</f>
        <v>1880.67</v>
      </c>
      <c r="E47" s="134"/>
      <c r="F47" s="135"/>
      <c r="G47" s="136"/>
      <c r="H47" s="137"/>
      <c r="I47" s="134"/>
      <c r="J47" s="135"/>
      <c r="K47" s="136">
        <v>1</v>
      </c>
      <c r="L47" s="138">
        <f t="shared" si="3"/>
        <v>1880.67</v>
      </c>
      <c r="M47" s="139">
        <f t="shared" si="1"/>
        <v>1</v>
      </c>
      <c r="N47" s="125"/>
      <c r="O47" s="125"/>
      <c r="P47" s="125"/>
      <c r="Q47" s="125"/>
      <c r="R47" s="125"/>
      <c r="S47" s="125"/>
      <c r="T47" s="125"/>
      <c r="U47" s="125"/>
      <c r="V47" s="125"/>
      <c r="W47" s="125"/>
      <c r="X47" s="125"/>
      <c r="Y47" s="125"/>
      <c r="Z47" s="125"/>
    </row>
    <row r="48" spans="1:26" ht="15.75" customHeight="1">
      <c r="A48" s="131" t="str">
        <f>'Sintetica (não desonerado)'!A215</f>
        <v>5.5</v>
      </c>
      <c r="B48" s="140" t="str">
        <f>'Sintetica (não desonerado)'!B215</f>
        <v>INSTALAÇÕES ELÉTRICAS</v>
      </c>
      <c r="C48" s="133">
        <f t="shared" si="0"/>
        <v>1.2023340800711458E-2</v>
      </c>
      <c r="D48" s="127">
        <f>ROUND('Sintetica (não desonerado)'!G222*(1+$L$2),2)</f>
        <v>3035.98</v>
      </c>
      <c r="E48" s="134"/>
      <c r="F48" s="135"/>
      <c r="G48" s="136"/>
      <c r="H48" s="137"/>
      <c r="I48" s="134"/>
      <c r="J48" s="135"/>
      <c r="K48" s="136">
        <v>1</v>
      </c>
      <c r="L48" s="138">
        <f t="shared" si="3"/>
        <v>3035.98</v>
      </c>
      <c r="M48" s="139">
        <f t="shared" si="1"/>
        <v>1</v>
      </c>
      <c r="N48" s="125"/>
      <c r="O48" s="125"/>
      <c r="P48" s="125"/>
      <c r="Q48" s="125"/>
      <c r="R48" s="125"/>
      <c r="S48" s="125"/>
      <c r="T48" s="125"/>
      <c r="U48" s="125"/>
      <c r="V48" s="125"/>
      <c r="W48" s="125"/>
      <c r="X48" s="125"/>
      <c r="Y48" s="125"/>
      <c r="Z48" s="125"/>
    </row>
    <row r="49" spans="1:26" ht="15.75" customHeight="1">
      <c r="A49" s="131"/>
      <c r="B49" s="140"/>
      <c r="C49" s="136"/>
      <c r="D49" s="137"/>
      <c r="E49" s="134"/>
      <c r="F49" s="135"/>
      <c r="G49" s="136"/>
      <c r="H49" s="137"/>
      <c r="I49" s="134"/>
      <c r="J49" s="135"/>
      <c r="K49" s="136"/>
      <c r="L49" s="138"/>
      <c r="M49" s="125"/>
      <c r="N49" s="125"/>
      <c r="O49" s="125"/>
      <c r="P49" s="125"/>
      <c r="Q49" s="125"/>
      <c r="R49" s="125"/>
      <c r="S49" s="125"/>
      <c r="T49" s="125"/>
      <c r="U49" s="125"/>
      <c r="V49" s="125"/>
      <c r="W49" s="125"/>
      <c r="X49" s="125"/>
      <c r="Y49" s="125"/>
      <c r="Z49" s="125"/>
    </row>
    <row r="50" spans="1:26" ht="12.75" customHeight="1">
      <c r="A50" s="323"/>
      <c r="B50" s="38" t="s">
        <v>1490</v>
      </c>
      <c r="C50" s="324"/>
      <c r="D50" s="127">
        <f>ROUND(SUM(D5,D6,D7,D9,D13,D18,D26,D27,D28,D31,D32,D34,D37,D40,D47,D48,),2)+0.01</f>
        <v>252507.19</v>
      </c>
      <c r="E50" s="325"/>
      <c r="F50" s="135">
        <f>SUM(F5:F49)</f>
        <v>55116.81</v>
      </c>
      <c r="G50" s="322"/>
      <c r="H50" s="137">
        <f>SUM(H5:H49)</f>
        <v>58465.86</v>
      </c>
      <c r="I50" s="325"/>
      <c r="J50" s="135">
        <f>SUM(J5:J49)</f>
        <v>105912.39</v>
      </c>
      <c r="K50" s="322"/>
      <c r="L50" s="138">
        <f>SUM(L5:L49)</f>
        <v>33012.130000000005</v>
      </c>
      <c r="M50" s="125"/>
      <c r="N50" s="125"/>
      <c r="O50" s="125"/>
      <c r="P50" s="125"/>
      <c r="Q50" s="125"/>
      <c r="R50" s="125"/>
      <c r="S50" s="125"/>
      <c r="T50" s="125"/>
      <c r="U50" s="125"/>
      <c r="V50" s="125"/>
      <c r="W50" s="125"/>
      <c r="X50" s="125"/>
      <c r="Y50" s="125"/>
      <c r="Z50" s="125"/>
    </row>
    <row r="51" spans="1:26" ht="12.75" customHeight="1">
      <c r="A51" s="323"/>
      <c r="B51" s="38" t="s">
        <v>1491</v>
      </c>
      <c r="C51" s="324"/>
      <c r="D51" s="150">
        <f>SUM(C5,C6,C7,C9,C13,C18,C26,C27,C28,C32,C34,C37,C40,C47,C48,C31)</f>
        <v>0.99999996039716743</v>
      </c>
      <c r="E51" s="325"/>
      <c r="F51" s="151">
        <f>F50/$D$50</f>
        <v>0.21827818051438455</v>
      </c>
      <c r="G51" s="322"/>
      <c r="H51" s="152">
        <f>H50/$D$50</f>
        <v>0.23154136719829641</v>
      </c>
      <c r="I51" s="325"/>
      <c r="J51" s="151">
        <f>J50/$D$50</f>
        <v>0.41944306615585875</v>
      </c>
      <c r="K51" s="322"/>
      <c r="L51" s="153">
        <f>L50/$D$50</f>
        <v>0.13073738613146027</v>
      </c>
      <c r="M51" s="125"/>
      <c r="N51" s="125"/>
      <c r="O51" s="125"/>
      <c r="P51" s="125"/>
      <c r="Q51" s="125"/>
      <c r="R51" s="125"/>
      <c r="S51" s="125"/>
      <c r="T51" s="125"/>
      <c r="U51" s="125"/>
      <c r="V51" s="125"/>
      <c r="W51" s="125"/>
      <c r="X51" s="125"/>
      <c r="Y51" s="125"/>
      <c r="Z51" s="125"/>
    </row>
    <row r="52" spans="1:26" ht="12.75" customHeight="1">
      <c r="A52" s="323"/>
      <c r="B52" s="154"/>
      <c r="C52" s="324"/>
      <c r="D52" s="155"/>
      <c r="E52" s="325"/>
      <c r="F52" s="156"/>
      <c r="G52" s="322"/>
      <c r="H52" s="157"/>
      <c r="I52" s="325"/>
      <c r="J52" s="156"/>
      <c r="K52" s="322"/>
      <c r="L52" s="158"/>
      <c r="M52" s="125"/>
      <c r="N52" s="125"/>
      <c r="O52" s="125"/>
      <c r="P52" s="125"/>
      <c r="Q52" s="125"/>
      <c r="R52" s="125"/>
      <c r="S52" s="125"/>
      <c r="T52" s="125"/>
      <c r="U52" s="125"/>
      <c r="V52" s="125"/>
      <c r="W52" s="125"/>
      <c r="X52" s="125"/>
      <c r="Y52" s="125"/>
      <c r="Z52" s="125"/>
    </row>
    <row r="53" spans="1:26" ht="12.75" customHeight="1">
      <c r="A53" s="323"/>
      <c r="B53" s="38" t="s">
        <v>1492</v>
      </c>
      <c r="C53" s="324"/>
      <c r="D53" s="155"/>
      <c r="E53" s="325"/>
      <c r="F53" s="159">
        <f>F50</f>
        <v>55116.81</v>
      </c>
      <c r="G53" s="322"/>
      <c r="H53" s="127">
        <f>H50+F53</f>
        <v>113582.67</v>
      </c>
      <c r="I53" s="325"/>
      <c r="J53" s="159">
        <f>J50+H53-0.01</f>
        <v>219495.05</v>
      </c>
      <c r="K53" s="322"/>
      <c r="L53" s="160">
        <f>L50+J53+0.01</f>
        <v>252507.19</v>
      </c>
      <c r="M53" s="125"/>
      <c r="N53" s="149"/>
      <c r="O53" s="125"/>
      <c r="P53" s="125"/>
      <c r="Q53" s="125"/>
      <c r="R53" s="125"/>
      <c r="S53" s="125"/>
      <c r="T53" s="125"/>
      <c r="U53" s="125"/>
      <c r="V53" s="125"/>
      <c r="W53" s="125"/>
      <c r="X53" s="125"/>
      <c r="Y53" s="125"/>
      <c r="Z53" s="125"/>
    </row>
    <row r="54" spans="1:26" ht="12.75" customHeight="1">
      <c r="A54" s="323"/>
      <c r="B54" s="161" t="s">
        <v>1493</v>
      </c>
      <c r="C54" s="324"/>
      <c r="D54" s="162"/>
      <c r="E54" s="325"/>
      <c r="F54" s="163">
        <f>F51</f>
        <v>0.21827818051438455</v>
      </c>
      <c r="G54" s="322"/>
      <c r="H54" s="164">
        <f>H51+F54</f>
        <v>0.44981954771268096</v>
      </c>
      <c r="I54" s="325"/>
      <c r="J54" s="163">
        <f>J51+H54</f>
        <v>0.86926261386853976</v>
      </c>
      <c r="K54" s="322"/>
      <c r="L54" s="165">
        <f>L51+J54</f>
        <v>1</v>
      </c>
      <c r="M54" s="125"/>
      <c r="N54" s="125"/>
      <c r="O54" s="125"/>
      <c r="P54" s="125"/>
      <c r="Q54" s="125"/>
      <c r="R54" s="125"/>
      <c r="S54" s="125"/>
      <c r="T54" s="125"/>
      <c r="U54" s="125"/>
      <c r="V54" s="125"/>
      <c r="W54" s="125"/>
      <c r="X54" s="125"/>
      <c r="Y54" s="125"/>
      <c r="Z54" s="125"/>
    </row>
    <row r="55" spans="1:26" ht="15.75" customHeight="1">
      <c r="B55" s="86"/>
      <c r="C55" s="166"/>
      <c r="D55" s="166"/>
      <c r="E55" s="167"/>
      <c r="F55" s="167"/>
      <c r="I55" s="167"/>
      <c r="J55" s="167"/>
    </row>
    <row r="56" spans="1:26" ht="15.75" customHeight="1">
      <c r="B56" s="86"/>
      <c r="C56" s="166"/>
      <c r="D56" s="168"/>
      <c r="E56" s="167"/>
      <c r="F56" s="167"/>
      <c r="I56" s="167"/>
      <c r="J56" s="167"/>
    </row>
    <row r="57" spans="1:26" ht="15.75" customHeight="1">
      <c r="B57" s="86"/>
      <c r="C57" s="166"/>
      <c r="D57" s="166"/>
      <c r="E57" s="167"/>
      <c r="F57" s="167"/>
      <c r="G57" s="167"/>
      <c r="H57" s="167"/>
      <c r="I57" s="167"/>
      <c r="J57" s="167"/>
      <c r="K57" s="167"/>
      <c r="L57" s="167"/>
    </row>
    <row r="59" spans="1:26" ht="15.75" thickBot="1">
      <c r="L59" s="83">
        <f>'Sintetica (não desonerado)'!G226</f>
        <v>252507.19</v>
      </c>
    </row>
    <row r="60" spans="1:26" ht="15.75" thickTop="1"/>
  </sheetData>
  <mergeCells count="13">
    <mergeCell ref="A1:K1"/>
    <mergeCell ref="A2:K2"/>
    <mergeCell ref="C3:D3"/>
    <mergeCell ref="E3:F3"/>
    <mergeCell ref="G3:H3"/>
    <mergeCell ref="I3:J3"/>
    <mergeCell ref="K3:L3"/>
    <mergeCell ref="K50:K54"/>
    <mergeCell ref="A50:A54"/>
    <mergeCell ref="C50:C54"/>
    <mergeCell ref="E50:E54"/>
    <mergeCell ref="G50:G54"/>
    <mergeCell ref="I50:I54"/>
  </mergeCells>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26"/>
  <sheetViews>
    <sheetView zoomScaleNormal="100" workbookViewId="0">
      <selection activeCell="G10" sqref="G10"/>
    </sheetView>
  </sheetViews>
  <sheetFormatPr defaultRowHeight="15"/>
  <cols>
    <col min="1" max="1" width="9"/>
    <col min="2" max="2" width="8"/>
    <col min="3" max="3" width="49.5703125"/>
    <col min="4" max="4" width="9.7109375"/>
    <col min="5" max="6" width="9"/>
    <col min="7" max="24" width="7.85546875"/>
    <col min="25" max="1025" width="14.140625"/>
  </cols>
  <sheetData>
    <row r="1" spans="1:24" ht="62.25" customHeight="1">
      <c r="A1" s="331" t="s">
        <v>1494</v>
      </c>
      <c r="B1" s="331"/>
      <c r="C1" s="331"/>
      <c r="D1" s="331"/>
      <c r="E1" s="166"/>
      <c r="F1" s="166"/>
      <c r="G1" s="166"/>
      <c r="H1" s="166"/>
      <c r="I1" s="166"/>
      <c r="J1" s="166"/>
      <c r="K1" s="166"/>
      <c r="L1" s="166"/>
      <c r="M1" s="166"/>
      <c r="N1" s="166"/>
      <c r="O1" s="166"/>
      <c r="P1" s="166"/>
      <c r="Q1" s="166"/>
      <c r="R1" s="166"/>
      <c r="S1" s="166"/>
      <c r="T1" s="166"/>
      <c r="U1" s="166"/>
      <c r="V1" s="166"/>
      <c r="W1" s="166"/>
      <c r="X1" s="166"/>
    </row>
    <row r="2" spans="1:24" ht="33.75" customHeight="1">
      <c r="A2" s="332" t="s">
        <v>1495</v>
      </c>
      <c r="B2" s="332"/>
      <c r="C2" s="332"/>
      <c r="D2" s="332"/>
      <c r="E2" s="166"/>
      <c r="F2" s="166"/>
      <c r="G2" s="166"/>
      <c r="H2" s="166"/>
      <c r="I2" s="166"/>
      <c r="J2" s="166"/>
      <c r="K2" s="166"/>
      <c r="L2" s="166"/>
      <c r="M2" s="166"/>
      <c r="N2" s="166"/>
      <c r="O2" s="166"/>
      <c r="P2" s="166"/>
      <c r="Q2" s="166"/>
      <c r="R2" s="166"/>
      <c r="S2" s="166"/>
      <c r="T2" s="166"/>
      <c r="U2" s="166"/>
      <c r="V2" s="166"/>
      <c r="W2" s="166"/>
      <c r="X2" s="166"/>
    </row>
    <row r="3" spans="1:24">
      <c r="A3" s="169" t="s">
        <v>1496</v>
      </c>
      <c r="B3" s="170" t="s">
        <v>1497</v>
      </c>
      <c r="C3" s="171" t="s">
        <v>1498</v>
      </c>
      <c r="D3" s="172"/>
      <c r="E3" s="166"/>
      <c r="F3" s="166"/>
      <c r="G3" s="166"/>
      <c r="H3" s="166"/>
      <c r="I3" s="166"/>
      <c r="J3" s="166"/>
      <c r="K3" s="166"/>
      <c r="L3" s="166"/>
      <c r="M3" s="166"/>
      <c r="N3" s="166"/>
      <c r="O3" s="166"/>
      <c r="P3" s="166"/>
      <c r="Q3" s="166"/>
      <c r="R3" s="166"/>
      <c r="S3" s="166"/>
      <c r="T3" s="166"/>
      <c r="U3" s="166"/>
      <c r="V3" s="166"/>
      <c r="W3" s="166"/>
      <c r="X3" s="166"/>
    </row>
    <row r="4" spans="1:24">
      <c r="A4" s="173"/>
      <c r="B4" s="174" t="s">
        <v>1499</v>
      </c>
      <c r="C4" s="175" t="s">
        <v>1500</v>
      </c>
      <c r="D4" s="176">
        <v>0.04</v>
      </c>
      <c r="E4" s="166"/>
      <c r="F4" s="166"/>
      <c r="G4" s="166"/>
      <c r="H4" s="166"/>
      <c r="I4" s="166"/>
      <c r="J4" s="166"/>
      <c r="K4" s="166"/>
      <c r="L4" s="166"/>
      <c r="M4" s="166"/>
      <c r="N4" s="166"/>
      <c r="O4" s="166"/>
      <c r="P4" s="166"/>
      <c r="Q4" s="166"/>
      <c r="R4" s="166"/>
      <c r="S4" s="166"/>
      <c r="T4" s="166"/>
      <c r="U4" s="166"/>
      <c r="V4" s="166"/>
      <c r="W4" s="166"/>
      <c r="X4" s="166"/>
    </row>
    <row r="5" spans="1:24">
      <c r="A5" s="173"/>
      <c r="B5" s="174" t="s">
        <v>1501</v>
      </c>
      <c r="C5" s="175" t="s">
        <v>1502</v>
      </c>
      <c r="D5" s="176">
        <v>0.01</v>
      </c>
      <c r="E5" s="166"/>
      <c r="F5" s="166"/>
      <c r="G5" s="166"/>
      <c r="H5" s="166"/>
      <c r="I5" s="166"/>
      <c r="J5" s="166"/>
      <c r="K5" s="166"/>
      <c r="L5" s="166"/>
      <c r="M5" s="166"/>
      <c r="N5" s="166"/>
      <c r="O5" s="166"/>
      <c r="P5" s="166"/>
      <c r="Q5" s="166"/>
      <c r="R5" s="166"/>
      <c r="S5" s="166"/>
      <c r="T5" s="166"/>
      <c r="U5" s="166"/>
      <c r="V5" s="166"/>
      <c r="W5" s="166"/>
      <c r="X5" s="166"/>
    </row>
    <row r="6" spans="1:24">
      <c r="A6" s="173"/>
      <c r="B6" s="174" t="s">
        <v>1503</v>
      </c>
      <c r="C6" s="175" t="s">
        <v>1504</v>
      </c>
      <c r="D6" s="176">
        <v>1.2699999999999999E-2</v>
      </c>
      <c r="E6" s="166"/>
      <c r="F6" s="166"/>
      <c r="G6" s="166"/>
      <c r="H6" s="166"/>
      <c r="I6" s="166"/>
      <c r="J6" s="166"/>
      <c r="K6" s="166"/>
      <c r="L6" s="166"/>
      <c r="M6" s="166"/>
      <c r="N6" s="166"/>
      <c r="O6" s="166"/>
      <c r="P6" s="166"/>
      <c r="Q6" s="166"/>
      <c r="R6" s="166"/>
      <c r="S6" s="166"/>
      <c r="T6" s="166"/>
      <c r="U6" s="166"/>
      <c r="V6" s="166"/>
      <c r="W6" s="166"/>
      <c r="X6" s="166"/>
    </row>
    <row r="7" spans="1:24">
      <c r="A7" s="173"/>
      <c r="B7" s="174" t="s">
        <v>1505</v>
      </c>
      <c r="C7" s="175" t="s">
        <v>1506</v>
      </c>
      <c r="D7" s="176">
        <v>0</v>
      </c>
      <c r="E7" s="166"/>
      <c r="F7" s="166"/>
      <c r="G7" s="166"/>
      <c r="H7" s="166"/>
      <c r="I7" s="166"/>
      <c r="J7" s="166"/>
      <c r="K7" s="166"/>
      <c r="L7" s="166"/>
      <c r="M7" s="166"/>
      <c r="N7" s="166"/>
      <c r="O7" s="166"/>
      <c r="P7" s="166"/>
      <c r="Q7" s="166"/>
      <c r="R7" s="166"/>
      <c r="S7" s="166"/>
      <c r="T7" s="166"/>
      <c r="U7" s="166"/>
      <c r="V7" s="166"/>
      <c r="W7" s="166"/>
      <c r="X7" s="166"/>
    </row>
    <row r="8" spans="1:24">
      <c r="A8" s="177"/>
      <c r="B8" s="178"/>
      <c r="C8" s="179" t="s">
        <v>1507</v>
      </c>
      <c r="D8" s="180">
        <f>SUM(D4:D7)</f>
        <v>6.2700000000000006E-2</v>
      </c>
      <c r="E8" s="166"/>
      <c r="F8" s="166"/>
      <c r="G8" s="166"/>
      <c r="H8" s="166"/>
      <c r="I8" s="166"/>
      <c r="J8" s="166"/>
      <c r="K8" s="166"/>
      <c r="L8" s="166"/>
      <c r="M8" s="166"/>
      <c r="N8" s="166"/>
      <c r="O8" s="166"/>
      <c r="P8" s="166"/>
      <c r="Q8" s="166"/>
      <c r="R8" s="166"/>
      <c r="S8" s="166"/>
      <c r="T8" s="166"/>
      <c r="U8" s="166"/>
      <c r="V8" s="166"/>
      <c r="W8" s="166"/>
      <c r="X8" s="166"/>
    </row>
    <row r="9" spans="1:24">
      <c r="A9" s="181"/>
      <c r="B9" s="182"/>
      <c r="C9" s="86"/>
      <c r="D9" s="183"/>
      <c r="E9" s="166"/>
      <c r="F9" s="166"/>
      <c r="G9" s="166"/>
      <c r="H9" s="166"/>
      <c r="I9" s="166"/>
      <c r="J9" s="166"/>
      <c r="K9" s="166"/>
      <c r="L9" s="166"/>
      <c r="M9" s="166"/>
      <c r="N9" s="166"/>
      <c r="O9" s="166"/>
      <c r="P9" s="166"/>
      <c r="Q9" s="166"/>
      <c r="R9" s="166"/>
      <c r="S9" s="166"/>
      <c r="T9" s="166"/>
      <c r="U9" s="166"/>
      <c r="V9" s="166"/>
      <c r="W9" s="166"/>
      <c r="X9" s="166"/>
    </row>
    <row r="10" spans="1:24">
      <c r="A10" s="184" t="s">
        <v>1496</v>
      </c>
      <c r="B10" s="185" t="s">
        <v>1508</v>
      </c>
      <c r="C10" s="186" t="s">
        <v>1509</v>
      </c>
      <c r="D10" s="187"/>
      <c r="E10" s="166"/>
      <c r="F10" s="166"/>
      <c r="G10" s="166"/>
      <c r="H10" s="166"/>
      <c r="I10" s="166"/>
      <c r="J10" s="166"/>
      <c r="K10" s="166"/>
      <c r="L10" s="166"/>
      <c r="M10" s="166"/>
      <c r="N10" s="166"/>
      <c r="O10" s="166"/>
      <c r="P10" s="166"/>
      <c r="Q10" s="166"/>
      <c r="R10" s="166"/>
      <c r="S10" s="166"/>
      <c r="T10" s="166"/>
      <c r="U10" s="166"/>
      <c r="V10" s="166"/>
      <c r="W10" s="166"/>
      <c r="X10" s="166"/>
    </row>
    <row r="11" spans="1:24">
      <c r="A11" s="188"/>
      <c r="B11" s="189" t="s">
        <v>1510</v>
      </c>
      <c r="C11" s="175" t="s">
        <v>1511</v>
      </c>
      <c r="D11" s="176">
        <v>7.3999999999999996E-2</v>
      </c>
      <c r="E11" s="166"/>
      <c r="F11" s="166"/>
      <c r="G11" s="166"/>
      <c r="H11" s="166"/>
      <c r="I11" s="166"/>
      <c r="J11" s="166"/>
      <c r="K11" s="166"/>
      <c r="L11" s="166"/>
      <c r="M11" s="166"/>
      <c r="N11" s="166"/>
      <c r="O11" s="166"/>
      <c r="P11" s="166"/>
      <c r="Q11" s="166"/>
      <c r="R11" s="166"/>
      <c r="S11" s="166"/>
      <c r="T11" s="166"/>
      <c r="U11" s="166"/>
      <c r="V11" s="166"/>
      <c r="W11" s="166"/>
      <c r="X11" s="166"/>
    </row>
    <row r="12" spans="1:24">
      <c r="A12" s="177"/>
      <c r="B12" s="190"/>
      <c r="C12" s="191" t="s">
        <v>1512</v>
      </c>
      <c r="D12" s="180">
        <f>SUM(D11)</f>
        <v>7.3999999999999996E-2</v>
      </c>
      <c r="E12" s="166"/>
      <c r="F12" s="166"/>
      <c r="G12" s="166"/>
      <c r="H12" s="166"/>
      <c r="I12" s="166"/>
      <c r="J12" s="166"/>
      <c r="K12" s="166"/>
      <c r="L12" s="166"/>
      <c r="M12" s="166"/>
      <c r="N12" s="166"/>
      <c r="O12" s="166"/>
      <c r="P12" s="166"/>
      <c r="Q12" s="166"/>
      <c r="R12" s="166"/>
      <c r="S12" s="166"/>
      <c r="T12" s="166"/>
      <c r="U12" s="166"/>
      <c r="V12" s="166"/>
      <c r="W12" s="166"/>
      <c r="X12" s="166"/>
    </row>
    <row r="13" spans="1:24">
      <c r="A13" s="181"/>
      <c r="B13" s="182"/>
      <c r="C13" s="86"/>
      <c r="D13" s="183"/>
      <c r="E13" s="166"/>
      <c r="F13" s="166"/>
      <c r="G13" s="166"/>
      <c r="H13" s="166"/>
      <c r="I13" s="166"/>
      <c r="J13" s="166"/>
      <c r="K13" s="166"/>
      <c r="L13" s="166"/>
      <c r="M13" s="166"/>
      <c r="N13" s="166"/>
      <c r="O13" s="166"/>
      <c r="P13" s="166"/>
      <c r="Q13" s="166"/>
      <c r="R13" s="166"/>
      <c r="S13" s="166"/>
      <c r="T13" s="166"/>
      <c r="U13" s="166"/>
      <c r="V13" s="166"/>
      <c r="W13" s="166"/>
      <c r="X13" s="166"/>
    </row>
    <row r="14" spans="1:24">
      <c r="A14" s="184" t="s">
        <v>1496</v>
      </c>
      <c r="B14" s="192" t="s">
        <v>1513</v>
      </c>
      <c r="C14" s="193" t="s">
        <v>1514</v>
      </c>
      <c r="D14" s="194"/>
      <c r="E14" s="166"/>
      <c r="F14" s="166"/>
      <c r="G14" s="166"/>
      <c r="H14" s="166"/>
      <c r="I14" s="166"/>
      <c r="J14" s="166"/>
      <c r="K14" s="166"/>
      <c r="L14" s="166"/>
      <c r="M14" s="166"/>
      <c r="N14" s="166"/>
      <c r="O14" s="166"/>
      <c r="P14" s="166"/>
      <c r="Q14" s="166"/>
      <c r="R14" s="166"/>
      <c r="S14" s="166"/>
      <c r="T14" s="166"/>
      <c r="U14" s="166"/>
      <c r="V14" s="166"/>
      <c r="W14" s="166"/>
      <c r="X14" s="166"/>
    </row>
    <row r="15" spans="1:24">
      <c r="A15" s="188"/>
      <c r="B15" s="174" t="s">
        <v>1515</v>
      </c>
      <c r="C15" s="195" t="s">
        <v>1516</v>
      </c>
      <c r="D15" s="196">
        <v>6.4999999999999997E-3</v>
      </c>
      <c r="E15" s="166"/>
      <c r="F15" s="166"/>
      <c r="G15" s="166"/>
      <c r="H15" s="166"/>
      <c r="I15" s="166"/>
      <c r="J15" s="166"/>
      <c r="K15" s="166"/>
      <c r="L15" s="166"/>
      <c r="M15" s="166"/>
      <c r="N15" s="166"/>
      <c r="O15" s="166"/>
      <c r="P15" s="166"/>
      <c r="Q15" s="166"/>
      <c r="R15" s="166"/>
      <c r="S15" s="166"/>
      <c r="T15" s="166"/>
      <c r="U15" s="166"/>
      <c r="V15" s="166"/>
      <c r="W15" s="166"/>
      <c r="X15" s="166"/>
    </row>
    <row r="16" spans="1:24">
      <c r="A16" s="188"/>
      <c r="B16" s="174" t="s">
        <v>1517</v>
      </c>
      <c r="C16" s="195" t="s">
        <v>1518</v>
      </c>
      <c r="D16" s="196">
        <v>0.03</v>
      </c>
      <c r="E16" s="166"/>
      <c r="F16" s="166"/>
      <c r="G16" s="166"/>
      <c r="H16" s="166"/>
      <c r="I16" s="166"/>
      <c r="J16" s="166"/>
      <c r="K16" s="166"/>
      <c r="L16" s="166"/>
      <c r="M16" s="166"/>
      <c r="N16" s="166"/>
      <c r="O16" s="166"/>
      <c r="P16" s="166"/>
      <c r="Q16" s="166"/>
      <c r="R16" s="166"/>
      <c r="S16" s="166"/>
      <c r="T16" s="166"/>
      <c r="U16" s="166"/>
      <c r="V16" s="166"/>
      <c r="W16" s="166"/>
      <c r="X16" s="166"/>
    </row>
    <row r="17" spans="1:24">
      <c r="A17" s="188"/>
      <c r="B17" s="174" t="s">
        <v>1519</v>
      </c>
      <c r="C17" s="195" t="s">
        <v>1520</v>
      </c>
      <c r="D17" s="196">
        <v>0.04</v>
      </c>
      <c r="E17" s="166"/>
      <c r="F17" s="166"/>
      <c r="G17" s="166"/>
      <c r="H17" s="166"/>
      <c r="I17" s="166"/>
      <c r="J17" s="166"/>
      <c r="K17" s="166"/>
      <c r="L17" s="166"/>
      <c r="M17" s="166"/>
      <c r="N17" s="166"/>
      <c r="O17" s="166"/>
      <c r="P17" s="166"/>
      <c r="Q17" s="166"/>
      <c r="R17" s="166"/>
      <c r="S17" s="166"/>
      <c r="T17" s="166"/>
      <c r="U17" s="166"/>
      <c r="V17" s="166"/>
      <c r="W17" s="166"/>
      <c r="X17" s="166"/>
    </row>
    <row r="18" spans="1:24">
      <c r="A18" s="181"/>
      <c r="B18" s="197" t="s">
        <v>1521</v>
      </c>
      <c r="C18" s="198" t="s">
        <v>1522</v>
      </c>
      <c r="D18" s="199">
        <v>0</v>
      </c>
      <c r="E18" s="166"/>
      <c r="F18" s="166"/>
      <c r="G18" s="166"/>
      <c r="H18" s="166"/>
      <c r="I18" s="166"/>
      <c r="J18" s="166"/>
      <c r="K18" s="166"/>
      <c r="L18" s="166"/>
      <c r="M18" s="166"/>
      <c r="N18" s="166"/>
      <c r="O18" s="166"/>
      <c r="P18" s="166"/>
      <c r="Q18" s="166"/>
      <c r="R18" s="166"/>
      <c r="S18" s="166"/>
      <c r="T18" s="166"/>
      <c r="U18" s="166"/>
      <c r="V18" s="166"/>
      <c r="W18" s="166"/>
      <c r="X18" s="166"/>
    </row>
    <row r="19" spans="1:24">
      <c r="A19" s="177"/>
      <c r="B19" s="200"/>
      <c r="C19" s="191" t="s">
        <v>1523</v>
      </c>
      <c r="D19" s="180">
        <f>SUM(D15:D18)</f>
        <v>7.6499999999999999E-2</v>
      </c>
      <c r="E19" s="166"/>
      <c r="F19" s="166"/>
      <c r="G19" s="166"/>
      <c r="H19" s="166"/>
      <c r="I19" s="166"/>
      <c r="J19" s="166"/>
      <c r="K19" s="166"/>
      <c r="L19" s="166"/>
      <c r="M19" s="166"/>
      <c r="N19" s="166"/>
      <c r="O19" s="166"/>
      <c r="P19" s="166"/>
      <c r="Q19" s="166"/>
      <c r="R19" s="166"/>
      <c r="S19" s="166"/>
      <c r="T19" s="166"/>
      <c r="U19" s="166"/>
      <c r="V19" s="166"/>
      <c r="W19" s="166"/>
      <c r="X19" s="166"/>
    </row>
    <row r="20" spans="1:24">
      <c r="A20" s="181"/>
      <c r="B20" s="201"/>
      <c r="C20" s="182"/>
      <c r="D20" s="202"/>
      <c r="E20" s="166"/>
      <c r="F20" s="166"/>
      <c r="G20" s="166"/>
      <c r="H20" s="166"/>
      <c r="I20" s="166"/>
      <c r="J20" s="166"/>
      <c r="K20" s="166"/>
      <c r="L20" s="166"/>
      <c r="M20" s="166"/>
      <c r="N20" s="166"/>
      <c r="O20" s="166"/>
      <c r="P20" s="166"/>
      <c r="Q20" s="166"/>
      <c r="R20" s="166"/>
      <c r="S20" s="166"/>
      <c r="T20" s="166"/>
      <c r="U20" s="166"/>
      <c r="V20" s="166"/>
      <c r="W20" s="166"/>
      <c r="X20" s="166"/>
    </row>
    <row r="21" spans="1:24" ht="15.75" customHeight="1">
      <c r="A21" s="184" t="s">
        <v>1496</v>
      </c>
      <c r="B21" s="192" t="s">
        <v>1524</v>
      </c>
      <c r="C21" s="193" t="s">
        <v>1525</v>
      </c>
      <c r="D21" s="194"/>
      <c r="E21" s="166"/>
      <c r="F21" s="166"/>
      <c r="G21" s="166"/>
      <c r="H21" s="166"/>
      <c r="I21" s="166"/>
      <c r="J21" s="166"/>
      <c r="K21" s="166"/>
      <c r="L21" s="166"/>
      <c r="M21" s="166"/>
      <c r="N21" s="166"/>
      <c r="O21" s="166"/>
      <c r="P21" s="166"/>
      <c r="Q21" s="166"/>
      <c r="R21" s="166"/>
      <c r="S21" s="166"/>
      <c r="T21" s="166"/>
      <c r="U21" s="166"/>
      <c r="V21" s="166"/>
      <c r="W21" s="166"/>
      <c r="X21" s="166"/>
    </row>
    <row r="22" spans="1:24" ht="15.75" customHeight="1">
      <c r="A22" s="203"/>
      <c r="B22" s="204"/>
      <c r="C22" s="198" t="s">
        <v>1526</v>
      </c>
      <c r="D22" s="196">
        <v>1.23E-2</v>
      </c>
      <c r="E22" s="166"/>
      <c r="F22" s="166"/>
      <c r="G22" s="166"/>
      <c r="H22" s="166"/>
      <c r="I22" s="166"/>
      <c r="J22" s="166"/>
      <c r="K22" s="166"/>
      <c r="L22" s="166"/>
      <c r="M22" s="166"/>
      <c r="N22" s="166"/>
      <c r="O22" s="166"/>
      <c r="P22" s="166"/>
      <c r="Q22" s="166"/>
      <c r="R22" s="166"/>
      <c r="S22" s="166"/>
      <c r="T22" s="166"/>
      <c r="U22" s="166"/>
      <c r="V22" s="166"/>
      <c r="W22" s="166"/>
      <c r="X22" s="166"/>
    </row>
    <row r="23" spans="1:24" ht="15.75" customHeight="1">
      <c r="A23" s="205"/>
      <c r="B23" s="179"/>
      <c r="C23" s="191" t="s">
        <v>1527</v>
      </c>
      <c r="D23" s="206">
        <f>SUM(D22)</f>
        <v>1.23E-2</v>
      </c>
      <c r="E23" s="166"/>
      <c r="F23" s="166"/>
      <c r="G23" s="166"/>
      <c r="H23" s="166"/>
      <c r="I23" s="166"/>
      <c r="J23" s="166"/>
      <c r="K23" s="166"/>
      <c r="L23" s="166"/>
      <c r="M23" s="166"/>
      <c r="N23" s="166"/>
      <c r="O23" s="166"/>
      <c r="P23" s="166"/>
      <c r="Q23" s="166"/>
      <c r="R23" s="166"/>
      <c r="S23" s="166"/>
      <c r="T23" s="166"/>
      <c r="U23" s="166"/>
      <c r="V23" s="166"/>
      <c r="W23" s="166"/>
      <c r="X23" s="166"/>
    </row>
    <row r="24" spans="1:24" ht="15.75" customHeight="1">
      <c r="A24" s="207"/>
      <c r="B24" s="208"/>
      <c r="C24" s="209"/>
      <c r="D24" s="210"/>
      <c r="E24" s="166"/>
      <c r="F24" s="166"/>
      <c r="G24" s="166"/>
      <c r="H24" s="166"/>
      <c r="I24" s="166"/>
      <c r="J24" s="166"/>
      <c r="K24" s="166"/>
      <c r="L24" s="166"/>
      <c r="M24" s="166"/>
      <c r="N24" s="166"/>
      <c r="O24" s="166"/>
      <c r="P24" s="166"/>
      <c r="Q24" s="166"/>
      <c r="R24" s="166"/>
      <c r="S24" s="166"/>
      <c r="T24" s="166"/>
      <c r="U24" s="166"/>
      <c r="V24" s="166"/>
      <c r="W24" s="166"/>
      <c r="X24" s="166"/>
    </row>
    <row r="25" spans="1:24" ht="15.75" customHeight="1">
      <c r="A25" s="333" t="s">
        <v>1528</v>
      </c>
      <c r="B25" s="333"/>
      <c r="C25" s="333"/>
      <c r="D25" s="333"/>
      <c r="E25" s="166"/>
      <c r="F25" s="166"/>
      <c r="G25" s="166"/>
      <c r="H25" s="166"/>
      <c r="I25" s="166"/>
      <c r="J25" s="166"/>
      <c r="K25" s="166"/>
      <c r="L25" s="166"/>
      <c r="M25" s="166"/>
      <c r="N25" s="166"/>
      <c r="O25" s="166"/>
      <c r="P25" s="166"/>
      <c r="Q25" s="166"/>
      <c r="R25" s="166"/>
      <c r="S25" s="166"/>
      <c r="T25" s="166"/>
      <c r="U25" s="166"/>
      <c r="V25" s="166"/>
      <c r="W25" s="166"/>
      <c r="X25" s="166"/>
    </row>
    <row r="26" spans="1:24" ht="15.75" customHeight="1">
      <c r="A26" s="334" t="s">
        <v>1529</v>
      </c>
      <c r="B26" s="334"/>
      <c r="C26" s="334"/>
      <c r="D26" s="211">
        <f>((((1+D8)*(1+D23)*(1+D12))/(1-D19)-1))</f>
        <v>0.25108638824038976</v>
      </c>
      <c r="E26" s="166"/>
      <c r="F26" s="166"/>
      <c r="G26" s="166"/>
      <c r="H26" s="166"/>
      <c r="I26" s="166"/>
      <c r="J26" s="166"/>
      <c r="K26" s="166"/>
      <c r="L26" s="166"/>
      <c r="M26" s="166"/>
      <c r="N26" s="166"/>
      <c r="O26" s="166"/>
      <c r="P26" s="166"/>
      <c r="Q26" s="166"/>
      <c r="R26" s="166"/>
      <c r="S26" s="166"/>
      <c r="T26" s="166"/>
      <c r="U26" s="166"/>
      <c r="V26" s="166"/>
      <c r="W26" s="166"/>
      <c r="X26" s="166"/>
    </row>
  </sheetData>
  <mergeCells count="4">
    <mergeCell ref="A1:D1"/>
    <mergeCell ref="A2:D2"/>
    <mergeCell ref="A25:D25"/>
    <mergeCell ref="A26:C26"/>
  </mergeCells>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198"/>
  <sheetViews>
    <sheetView zoomScaleNormal="100" workbookViewId="0">
      <selection sqref="A1:D1"/>
    </sheetView>
  </sheetViews>
  <sheetFormatPr defaultRowHeight="15"/>
  <cols>
    <col min="1" max="1" width="14.140625"/>
    <col min="2" max="2" width="16.28515625"/>
    <col min="3" max="3" width="73.5703125"/>
    <col min="4" max="4" width="10.42578125"/>
    <col min="6" max="6" width="12.28515625"/>
    <col min="7" max="1025" width="14.140625"/>
  </cols>
  <sheetData>
    <row r="1" spans="1:7" ht="15" customHeight="1">
      <c r="A1" s="336" t="s">
        <v>0</v>
      </c>
      <c r="B1" s="336"/>
      <c r="C1" s="336"/>
      <c r="D1" s="336"/>
      <c r="E1" s="337" t="s">
        <v>1</v>
      </c>
      <c r="F1" s="337"/>
      <c r="G1" s="212" t="s">
        <v>2</v>
      </c>
    </row>
    <row r="2" spans="1:7" ht="15" customHeight="1">
      <c r="A2" s="336" t="s">
        <v>1530</v>
      </c>
      <c r="B2" s="336"/>
      <c r="C2" s="336"/>
      <c r="D2" s="336"/>
      <c r="E2" s="337" t="s">
        <v>4</v>
      </c>
      <c r="F2" s="337"/>
      <c r="G2" s="213">
        <v>0.31519999999999998</v>
      </c>
    </row>
    <row r="3" spans="1:7">
      <c r="A3" s="214" t="s">
        <v>1531</v>
      </c>
      <c r="B3" s="215" t="s">
        <v>418</v>
      </c>
      <c r="C3" s="216" t="s">
        <v>420</v>
      </c>
      <c r="D3" s="215" t="s">
        <v>421</v>
      </c>
      <c r="E3" s="217" t="s">
        <v>422</v>
      </c>
      <c r="F3" s="215" t="s">
        <v>423</v>
      </c>
      <c r="G3" s="215" t="s">
        <v>424</v>
      </c>
    </row>
    <row r="4" spans="1:7">
      <c r="A4" s="218" t="s">
        <v>1532</v>
      </c>
      <c r="B4" s="219"/>
      <c r="C4" s="220" t="s">
        <v>12</v>
      </c>
      <c r="D4" s="219"/>
      <c r="E4" s="221"/>
      <c r="F4" s="219"/>
      <c r="G4" s="222">
        <f>G5</f>
        <v>959.95</v>
      </c>
    </row>
    <row r="5" spans="1:7">
      <c r="A5" s="223" t="s">
        <v>13</v>
      </c>
      <c r="B5" s="224" t="s">
        <v>426</v>
      </c>
      <c r="C5" s="225" t="s">
        <v>15</v>
      </c>
      <c r="D5" s="224" t="s">
        <v>16</v>
      </c>
      <c r="E5" s="226">
        <v>5.0000000000000001E-3</v>
      </c>
      <c r="F5" s="227">
        <f>SUM(G6,G8,G12,G138)</f>
        <v>191990.6</v>
      </c>
      <c r="G5" s="227">
        <f>ROUND(F5*E5,2)</f>
        <v>959.95</v>
      </c>
    </row>
    <row r="6" spans="1:7">
      <c r="A6" s="218" t="s">
        <v>1533</v>
      </c>
      <c r="B6" s="228"/>
      <c r="C6" s="229" t="s">
        <v>18</v>
      </c>
      <c r="D6" s="228"/>
      <c r="E6" s="230"/>
      <c r="F6" s="228"/>
      <c r="G6" s="231">
        <v>21748.400000000001</v>
      </c>
    </row>
    <row r="7" spans="1:7">
      <c r="A7" s="223" t="s">
        <v>19</v>
      </c>
      <c r="B7" s="232">
        <v>93572</v>
      </c>
      <c r="C7" s="233" t="s">
        <v>432</v>
      </c>
      <c r="D7" s="232" t="s">
        <v>433</v>
      </c>
      <c r="E7" s="234">
        <v>4</v>
      </c>
      <c r="F7" s="235">
        <v>5437.1</v>
      </c>
      <c r="G7" s="235">
        <v>21748.400000000001</v>
      </c>
    </row>
    <row r="8" spans="1:7">
      <c r="A8" s="218" t="s">
        <v>1534</v>
      </c>
      <c r="B8" s="228"/>
      <c r="C8" s="229" t="s">
        <v>23</v>
      </c>
      <c r="D8" s="228"/>
      <c r="E8" s="230"/>
      <c r="F8" s="228"/>
      <c r="G8" s="231">
        <v>3366.89</v>
      </c>
    </row>
    <row r="9" spans="1:7" ht="75">
      <c r="A9" s="223" t="s">
        <v>24</v>
      </c>
      <c r="B9" s="232" t="s">
        <v>25</v>
      </c>
      <c r="C9" s="233" t="s">
        <v>26</v>
      </c>
      <c r="D9" s="232" t="s">
        <v>451</v>
      </c>
      <c r="E9" s="234">
        <v>2.2000000000000002</v>
      </c>
      <c r="F9" s="235">
        <v>201.25</v>
      </c>
      <c r="G9" s="235">
        <v>442.75</v>
      </c>
    </row>
    <row r="10" spans="1:7">
      <c r="A10" s="223" t="s">
        <v>28</v>
      </c>
      <c r="B10" s="232" t="s">
        <v>29</v>
      </c>
      <c r="C10" s="233" t="s">
        <v>30</v>
      </c>
      <c r="D10" s="232" t="s">
        <v>31</v>
      </c>
      <c r="E10" s="234">
        <v>179.18</v>
      </c>
      <c r="F10" s="235">
        <v>14.84</v>
      </c>
      <c r="G10" s="235">
        <v>2659.03</v>
      </c>
    </row>
    <row r="11" spans="1:7">
      <c r="A11" s="223" t="s">
        <v>32</v>
      </c>
      <c r="B11" s="232" t="s">
        <v>33</v>
      </c>
      <c r="C11" s="233" t="s">
        <v>34</v>
      </c>
      <c r="D11" s="232" t="s">
        <v>451</v>
      </c>
      <c r="E11" s="234">
        <v>32.729999999999997</v>
      </c>
      <c r="F11" s="235">
        <v>8.1</v>
      </c>
      <c r="G11" s="235">
        <v>265.11</v>
      </c>
    </row>
    <row r="12" spans="1:7">
      <c r="A12" s="218" t="s">
        <v>1535</v>
      </c>
      <c r="B12" s="228"/>
      <c r="C12" s="229" t="s">
        <v>36</v>
      </c>
      <c r="D12" s="228"/>
      <c r="E12" s="230"/>
      <c r="F12" s="228"/>
      <c r="G12" s="231">
        <v>130092.28</v>
      </c>
    </row>
    <row r="13" spans="1:7">
      <c r="A13" s="218" t="s">
        <v>37</v>
      </c>
      <c r="B13" s="228"/>
      <c r="C13" s="229" t="s">
        <v>38</v>
      </c>
      <c r="D13" s="228"/>
      <c r="E13" s="230"/>
      <c r="F13" s="228"/>
      <c r="G13" s="231">
        <v>19232.97</v>
      </c>
    </row>
    <row r="14" spans="1:7">
      <c r="A14" s="218" t="s">
        <v>39</v>
      </c>
      <c r="B14" s="228"/>
      <c r="C14" s="229" t="s">
        <v>40</v>
      </c>
      <c r="D14" s="228"/>
      <c r="E14" s="230"/>
      <c r="F14" s="228"/>
      <c r="G14" s="231">
        <v>3349.53</v>
      </c>
    </row>
    <row r="15" spans="1:7" ht="30">
      <c r="A15" s="223" t="s">
        <v>41</v>
      </c>
      <c r="B15" s="232">
        <v>97629</v>
      </c>
      <c r="C15" s="233" t="s">
        <v>42</v>
      </c>
      <c r="D15" s="232" t="s">
        <v>468</v>
      </c>
      <c r="E15" s="234">
        <v>5.65</v>
      </c>
      <c r="F15" s="235">
        <v>93.24</v>
      </c>
      <c r="G15" s="235">
        <v>526.79999999999995</v>
      </c>
    </row>
    <row r="16" spans="1:7">
      <c r="A16" s="223" t="s">
        <v>44</v>
      </c>
      <c r="B16" s="232">
        <v>93358</v>
      </c>
      <c r="C16" s="233" t="s">
        <v>45</v>
      </c>
      <c r="D16" s="232" t="s">
        <v>468</v>
      </c>
      <c r="E16" s="234">
        <v>2.54</v>
      </c>
      <c r="F16" s="235">
        <v>59.97</v>
      </c>
      <c r="G16" s="235">
        <v>152.32</v>
      </c>
    </row>
    <row r="17" spans="1:7">
      <c r="A17" s="223" t="s">
        <v>46</v>
      </c>
      <c r="B17" s="232">
        <v>93382</v>
      </c>
      <c r="C17" s="233" t="s">
        <v>47</v>
      </c>
      <c r="D17" s="232" t="s">
        <v>468</v>
      </c>
      <c r="E17" s="234">
        <v>1.46</v>
      </c>
      <c r="F17" s="235">
        <v>24.83</v>
      </c>
      <c r="G17" s="235">
        <v>36.25</v>
      </c>
    </row>
    <row r="18" spans="1:7" ht="30">
      <c r="A18" s="223" t="s">
        <v>48</v>
      </c>
      <c r="B18" s="232" t="s">
        <v>49</v>
      </c>
      <c r="C18" s="233" t="s">
        <v>50</v>
      </c>
      <c r="D18" s="232" t="s">
        <v>451</v>
      </c>
      <c r="E18" s="234">
        <v>98.75</v>
      </c>
      <c r="F18" s="235">
        <v>3.85</v>
      </c>
      <c r="G18" s="235">
        <v>380.18</v>
      </c>
    </row>
    <row r="19" spans="1:7" ht="30">
      <c r="A19" s="223" t="s">
        <v>51</v>
      </c>
      <c r="B19" s="232">
        <v>96557</v>
      </c>
      <c r="C19" s="233" t="s">
        <v>52</v>
      </c>
      <c r="D19" s="232" t="s">
        <v>468</v>
      </c>
      <c r="E19" s="234">
        <v>1.1200000000000001</v>
      </c>
      <c r="F19" s="235">
        <v>511</v>
      </c>
      <c r="G19" s="235">
        <v>572.32000000000005</v>
      </c>
    </row>
    <row r="20" spans="1:7" ht="30">
      <c r="A20" s="223" t="s">
        <v>53</v>
      </c>
      <c r="B20" s="232" t="s">
        <v>54</v>
      </c>
      <c r="C20" s="233" t="s">
        <v>55</v>
      </c>
      <c r="D20" s="232" t="s">
        <v>451</v>
      </c>
      <c r="E20" s="234">
        <v>21.48</v>
      </c>
      <c r="F20" s="235">
        <v>49.08</v>
      </c>
      <c r="G20" s="235">
        <v>1054.23</v>
      </c>
    </row>
    <row r="21" spans="1:7">
      <c r="A21" s="223" t="s">
        <v>56</v>
      </c>
      <c r="B21" s="232">
        <v>98557</v>
      </c>
      <c r="C21" s="233" t="s">
        <v>57</v>
      </c>
      <c r="D21" s="232" t="s">
        <v>451</v>
      </c>
      <c r="E21" s="234">
        <v>9.6</v>
      </c>
      <c r="F21" s="235">
        <v>35.01</v>
      </c>
      <c r="G21" s="235">
        <v>336.09</v>
      </c>
    </row>
    <row r="22" spans="1:7" ht="30">
      <c r="A22" s="223" t="s">
        <v>58</v>
      </c>
      <c r="B22" s="232">
        <v>96543</v>
      </c>
      <c r="C22" s="233" t="s">
        <v>586</v>
      </c>
      <c r="D22" s="232" t="s">
        <v>60</v>
      </c>
      <c r="E22" s="234">
        <v>5.79</v>
      </c>
      <c r="F22" s="235">
        <v>17.12</v>
      </c>
      <c r="G22" s="235">
        <v>99.12</v>
      </c>
    </row>
    <row r="23" spans="1:7" ht="30">
      <c r="A23" s="223" t="s">
        <v>61</v>
      </c>
      <c r="B23" s="232">
        <v>96545</v>
      </c>
      <c r="C23" s="233" t="s">
        <v>62</v>
      </c>
      <c r="D23" s="232" t="s">
        <v>60</v>
      </c>
      <c r="E23" s="234">
        <v>12.68</v>
      </c>
      <c r="F23" s="235">
        <v>15.16</v>
      </c>
      <c r="G23" s="235">
        <v>192.22</v>
      </c>
    </row>
    <row r="24" spans="1:7">
      <c r="A24" s="218" t="s">
        <v>63</v>
      </c>
      <c r="B24" s="228"/>
      <c r="C24" s="229" t="s">
        <v>602</v>
      </c>
      <c r="D24" s="228"/>
      <c r="E24" s="230"/>
      <c r="F24" s="228"/>
      <c r="G24" s="231">
        <v>9673.27</v>
      </c>
    </row>
    <row r="25" spans="1:7">
      <c r="A25" s="223" t="s">
        <v>65</v>
      </c>
      <c r="B25" s="232" t="s">
        <v>66</v>
      </c>
      <c r="C25" s="233" t="s">
        <v>67</v>
      </c>
      <c r="D25" s="232" t="s">
        <v>451</v>
      </c>
      <c r="E25" s="234">
        <v>88.333799999999997</v>
      </c>
      <c r="F25" s="235">
        <v>2.39</v>
      </c>
      <c r="G25" s="235">
        <v>211.11</v>
      </c>
    </row>
    <row r="26" spans="1:7" ht="30">
      <c r="A26" s="223" t="s">
        <v>68</v>
      </c>
      <c r="B26" s="232">
        <v>97092</v>
      </c>
      <c r="C26" s="233" t="s">
        <v>69</v>
      </c>
      <c r="D26" s="232" t="s">
        <v>60</v>
      </c>
      <c r="E26" s="234">
        <v>274.718118</v>
      </c>
      <c r="F26" s="235">
        <v>18.03</v>
      </c>
      <c r="G26" s="235">
        <v>4953.16</v>
      </c>
    </row>
    <row r="27" spans="1:7" ht="30">
      <c r="A27" s="223" t="s">
        <v>70</v>
      </c>
      <c r="B27" s="232">
        <v>97096</v>
      </c>
      <c r="C27" s="233" t="s">
        <v>71</v>
      </c>
      <c r="D27" s="232" t="s">
        <v>468</v>
      </c>
      <c r="E27" s="234">
        <v>9.57</v>
      </c>
      <c r="F27" s="235">
        <v>471.16</v>
      </c>
      <c r="G27" s="235">
        <v>4509</v>
      </c>
    </row>
    <row r="28" spans="1:7">
      <c r="A28" s="218" t="s">
        <v>72</v>
      </c>
      <c r="B28" s="228"/>
      <c r="C28" s="229" t="s">
        <v>73</v>
      </c>
      <c r="D28" s="228"/>
      <c r="E28" s="230"/>
      <c r="F28" s="228"/>
      <c r="G28" s="231">
        <v>6210.17</v>
      </c>
    </row>
    <row r="29" spans="1:7" ht="45">
      <c r="A29" s="223" t="s">
        <v>74</v>
      </c>
      <c r="B29" s="232" t="s">
        <v>75</v>
      </c>
      <c r="C29" s="233" t="s">
        <v>76</v>
      </c>
      <c r="D29" s="232" t="s">
        <v>60</v>
      </c>
      <c r="E29" s="234">
        <v>290.7</v>
      </c>
      <c r="F29" s="235">
        <v>11.09</v>
      </c>
      <c r="G29" s="235">
        <v>3223.86</v>
      </c>
    </row>
    <row r="30" spans="1:7" ht="45">
      <c r="A30" s="223" t="s">
        <v>77</v>
      </c>
      <c r="B30" s="232" t="s">
        <v>75</v>
      </c>
      <c r="C30" s="233" t="s">
        <v>76</v>
      </c>
      <c r="D30" s="232" t="s">
        <v>60</v>
      </c>
      <c r="E30" s="234">
        <v>269.27999999999997</v>
      </c>
      <c r="F30" s="232">
        <v>11.09</v>
      </c>
      <c r="G30" s="235">
        <v>2986.31</v>
      </c>
    </row>
    <row r="31" spans="1:7">
      <c r="A31" s="218" t="s">
        <v>80</v>
      </c>
      <c r="B31" s="228"/>
      <c r="C31" s="229" t="s">
        <v>81</v>
      </c>
      <c r="D31" s="228"/>
      <c r="E31" s="230"/>
      <c r="F31" s="228"/>
      <c r="G31" s="231">
        <v>14762.19</v>
      </c>
    </row>
    <row r="32" spans="1:7">
      <c r="A32" s="218" t="s">
        <v>82</v>
      </c>
      <c r="B32" s="228"/>
      <c r="C32" s="229" t="s">
        <v>83</v>
      </c>
      <c r="D32" s="228"/>
      <c r="E32" s="230"/>
      <c r="F32" s="231"/>
      <c r="G32" s="231">
        <v>81.790000000000006</v>
      </c>
    </row>
    <row r="33" spans="1:7" ht="30">
      <c r="A33" s="223" t="s">
        <v>84</v>
      </c>
      <c r="B33" s="232">
        <v>97647</v>
      </c>
      <c r="C33" s="233" t="s">
        <v>85</v>
      </c>
      <c r="D33" s="232" t="s">
        <v>451</v>
      </c>
      <c r="E33" s="234">
        <v>33.25</v>
      </c>
      <c r="F33" s="232">
        <v>2.46</v>
      </c>
      <c r="G33" s="235">
        <v>81.790000000000006</v>
      </c>
    </row>
    <row r="34" spans="1:7">
      <c r="A34" s="218" t="s">
        <v>86</v>
      </c>
      <c r="B34" s="228"/>
      <c r="C34" s="229" t="s">
        <v>87</v>
      </c>
      <c r="D34" s="228"/>
      <c r="E34" s="230"/>
      <c r="F34" s="231"/>
      <c r="G34" s="231">
        <v>4288.08</v>
      </c>
    </row>
    <row r="35" spans="1:7" ht="30">
      <c r="A35" s="223" t="s">
        <v>88</v>
      </c>
      <c r="B35" s="232">
        <v>92580</v>
      </c>
      <c r="C35" s="233" t="s">
        <v>89</v>
      </c>
      <c r="D35" s="232" t="s">
        <v>451</v>
      </c>
      <c r="E35" s="234">
        <v>44.75</v>
      </c>
      <c r="F35" s="235">
        <v>46.67</v>
      </c>
      <c r="G35" s="235">
        <v>2088.48</v>
      </c>
    </row>
    <row r="36" spans="1:7" ht="30">
      <c r="A36" s="223" t="s">
        <v>90</v>
      </c>
      <c r="B36" s="232" t="s">
        <v>91</v>
      </c>
      <c r="C36" s="233" t="s">
        <v>92</v>
      </c>
      <c r="D36" s="232" t="s">
        <v>451</v>
      </c>
      <c r="E36" s="234">
        <v>78</v>
      </c>
      <c r="F36" s="232">
        <v>28.2</v>
      </c>
      <c r="G36" s="235">
        <v>2199.6</v>
      </c>
    </row>
    <row r="37" spans="1:7">
      <c r="A37" s="218" t="s">
        <v>93</v>
      </c>
      <c r="B37" s="228"/>
      <c r="C37" s="229" t="s">
        <v>94</v>
      </c>
      <c r="D37" s="228"/>
      <c r="E37" s="230"/>
      <c r="F37" s="231"/>
      <c r="G37" s="231">
        <v>6273.54</v>
      </c>
    </row>
    <row r="38" spans="1:7" ht="45">
      <c r="A38" s="223" t="s">
        <v>95</v>
      </c>
      <c r="B38" s="232" t="s">
        <v>96</v>
      </c>
      <c r="C38" s="233" t="s">
        <v>97</v>
      </c>
      <c r="D38" s="232" t="s">
        <v>451</v>
      </c>
      <c r="E38" s="234">
        <v>78</v>
      </c>
      <c r="F38" s="232">
        <v>80.430000000000007</v>
      </c>
      <c r="G38" s="235">
        <v>6273.54</v>
      </c>
    </row>
    <row r="39" spans="1:7">
      <c r="A39" s="218" t="s">
        <v>98</v>
      </c>
      <c r="B39" s="228"/>
      <c r="C39" s="229" t="s">
        <v>99</v>
      </c>
      <c r="D39" s="228"/>
      <c r="E39" s="230"/>
      <c r="F39" s="231"/>
      <c r="G39" s="231">
        <v>4118.78</v>
      </c>
    </row>
    <row r="40" spans="1:7">
      <c r="A40" s="223" t="s">
        <v>100</v>
      </c>
      <c r="B40" s="232" t="s">
        <v>101</v>
      </c>
      <c r="C40" s="233" t="s">
        <v>102</v>
      </c>
      <c r="D40" s="232" t="s">
        <v>31</v>
      </c>
      <c r="E40" s="234">
        <v>8.98</v>
      </c>
      <c r="F40" s="235">
        <v>31.92</v>
      </c>
      <c r="G40" s="235">
        <v>286.64</v>
      </c>
    </row>
    <row r="41" spans="1:7" ht="30">
      <c r="A41" s="223" t="s">
        <v>103</v>
      </c>
      <c r="B41" s="232">
        <v>94228</v>
      </c>
      <c r="C41" s="233" t="s">
        <v>104</v>
      </c>
      <c r="D41" s="232" t="s">
        <v>31</v>
      </c>
      <c r="E41" s="234">
        <v>28.34</v>
      </c>
      <c r="F41" s="235">
        <v>111.43</v>
      </c>
      <c r="G41" s="235">
        <v>3157.92</v>
      </c>
    </row>
    <row r="42" spans="1:7" ht="45">
      <c r="A42" s="223" t="s">
        <v>105</v>
      </c>
      <c r="B42" s="232">
        <v>91789</v>
      </c>
      <c r="C42" s="233" t="s">
        <v>106</v>
      </c>
      <c r="D42" s="232" t="s">
        <v>31</v>
      </c>
      <c r="E42" s="234">
        <v>13.28</v>
      </c>
      <c r="F42" s="232">
        <v>50.77</v>
      </c>
      <c r="G42" s="235">
        <v>674.22</v>
      </c>
    </row>
    <row r="43" spans="1:7">
      <c r="A43" s="218" t="s">
        <v>108</v>
      </c>
      <c r="B43" s="228"/>
      <c r="C43" s="229" t="s">
        <v>109</v>
      </c>
      <c r="D43" s="228"/>
      <c r="E43" s="230"/>
      <c r="F43" s="228"/>
      <c r="G43" s="231">
        <v>72233.509999999995</v>
      </c>
    </row>
    <row r="44" spans="1:7">
      <c r="A44" s="218" t="s">
        <v>110</v>
      </c>
      <c r="B44" s="228"/>
      <c r="C44" s="229" t="s">
        <v>111</v>
      </c>
      <c r="D44" s="228"/>
      <c r="E44" s="230"/>
      <c r="F44" s="231"/>
      <c r="G44" s="231">
        <v>2937.1</v>
      </c>
    </row>
    <row r="45" spans="1:7" ht="45">
      <c r="A45" s="223" t="s">
        <v>112</v>
      </c>
      <c r="B45" s="232">
        <v>103322</v>
      </c>
      <c r="C45" s="233" t="s">
        <v>113</v>
      </c>
      <c r="D45" s="232" t="s">
        <v>451</v>
      </c>
      <c r="E45" s="234">
        <v>58.66</v>
      </c>
      <c r="F45" s="232">
        <v>50.07</v>
      </c>
      <c r="G45" s="235">
        <v>2937.1</v>
      </c>
    </row>
    <row r="46" spans="1:7">
      <c r="A46" s="218" t="s">
        <v>114</v>
      </c>
      <c r="B46" s="228"/>
      <c r="C46" s="229" t="s">
        <v>115</v>
      </c>
      <c r="D46" s="228"/>
      <c r="E46" s="230"/>
      <c r="F46" s="231"/>
      <c r="G46" s="231">
        <v>9666.7999999999993</v>
      </c>
    </row>
    <row r="47" spans="1:7">
      <c r="A47" s="223" t="s">
        <v>116</v>
      </c>
      <c r="B47" s="232">
        <v>87879</v>
      </c>
      <c r="C47" s="233" t="s">
        <v>117</v>
      </c>
      <c r="D47" s="232" t="s">
        <v>451</v>
      </c>
      <c r="E47" s="234">
        <v>117.32</v>
      </c>
      <c r="F47" s="235">
        <v>3.37</v>
      </c>
      <c r="G47" s="235">
        <v>395.36</v>
      </c>
    </row>
    <row r="48" spans="1:7" ht="30">
      <c r="A48" s="223" t="s">
        <v>118</v>
      </c>
      <c r="B48" s="232">
        <v>87794</v>
      </c>
      <c r="C48" s="233" t="s">
        <v>119</v>
      </c>
      <c r="D48" s="232" t="s">
        <v>451</v>
      </c>
      <c r="E48" s="234">
        <v>117.32</v>
      </c>
      <c r="F48" s="235">
        <v>33.19</v>
      </c>
      <c r="G48" s="235">
        <v>3893.85</v>
      </c>
    </row>
    <row r="49" spans="1:7" ht="45">
      <c r="A49" s="223" t="s">
        <v>120</v>
      </c>
      <c r="B49" s="232" t="s">
        <v>121</v>
      </c>
      <c r="C49" s="233" t="s">
        <v>122</v>
      </c>
      <c r="D49" s="232" t="s">
        <v>451</v>
      </c>
      <c r="E49" s="234">
        <v>96.614999999999995</v>
      </c>
      <c r="F49" s="232">
        <v>55.66</v>
      </c>
      <c r="G49" s="235">
        <v>5377.59</v>
      </c>
    </row>
    <row r="50" spans="1:7">
      <c r="A50" s="218" t="s">
        <v>123</v>
      </c>
      <c r="B50" s="228"/>
      <c r="C50" s="229" t="s">
        <v>124</v>
      </c>
      <c r="D50" s="228"/>
      <c r="E50" s="230"/>
      <c r="F50" s="231"/>
      <c r="G50" s="231">
        <v>4320.7299999999996</v>
      </c>
    </row>
    <row r="51" spans="1:7">
      <c r="A51" s="223" t="s">
        <v>125</v>
      </c>
      <c r="B51" s="232">
        <v>88485</v>
      </c>
      <c r="C51" s="233" t="s">
        <v>126</v>
      </c>
      <c r="D51" s="232" t="s">
        <v>451</v>
      </c>
      <c r="E51" s="234">
        <v>217.44</v>
      </c>
      <c r="F51" s="235">
        <v>2.6</v>
      </c>
      <c r="G51" s="235">
        <v>565.34</v>
      </c>
    </row>
    <row r="52" spans="1:7" ht="30">
      <c r="A52" s="223" t="s">
        <v>127</v>
      </c>
      <c r="B52" s="232">
        <v>88489</v>
      </c>
      <c r="C52" s="233" t="s">
        <v>128</v>
      </c>
      <c r="D52" s="232" t="s">
        <v>451</v>
      </c>
      <c r="E52" s="234">
        <v>152.55000000000001</v>
      </c>
      <c r="F52" s="235">
        <v>11.8</v>
      </c>
      <c r="G52" s="235">
        <v>1800.09</v>
      </c>
    </row>
    <row r="53" spans="1:7" ht="45">
      <c r="A53" s="223" t="s">
        <v>129</v>
      </c>
      <c r="B53" s="232">
        <v>100719</v>
      </c>
      <c r="C53" s="233" t="s">
        <v>130</v>
      </c>
      <c r="D53" s="232" t="s">
        <v>451</v>
      </c>
      <c r="E53" s="234">
        <v>40.71</v>
      </c>
      <c r="F53" s="235">
        <v>9.17</v>
      </c>
      <c r="G53" s="235">
        <v>373.31</v>
      </c>
    </row>
    <row r="54" spans="1:7" ht="45">
      <c r="A54" s="223" t="s">
        <v>131</v>
      </c>
      <c r="B54" s="232">
        <v>100761</v>
      </c>
      <c r="C54" s="233" t="s">
        <v>132</v>
      </c>
      <c r="D54" s="232" t="s">
        <v>451</v>
      </c>
      <c r="E54" s="234">
        <v>40.71</v>
      </c>
      <c r="F54" s="232">
        <v>38.86</v>
      </c>
      <c r="G54" s="235">
        <v>1581.99</v>
      </c>
    </row>
    <row r="55" spans="1:7">
      <c r="A55" s="218" t="s">
        <v>133</v>
      </c>
      <c r="B55" s="228"/>
      <c r="C55" s="229" t="s">
        <v>134</v>
      </c>
      <c r="D55" s="228"/>
      <c r="E55" s="230"/>
      <c r="F55" s="231"/>
      <c r="G55" s="231">
        <v>899.37</v>
      </c>
    </row>
    <row r="56" spans="1:7" ht="30">
      <c r="A56" s="223" t="s">
        <v>135</v>
      </c>
      <c r="B56" s="232">
        <v>88423</v>
      </c>
      <c r="C56" s="233" t="s">
        <v>136</v>
      </c>
      <c r="D56" s="232" t="s">
        <v>451</v>
      </c>
      <c r="E56" s="234">
        <v>64.89</v>
      </c>
      <c r="F56" s="232">
        <v>13.86</v>
      </c>
      <c r="G56" s="235">
        <v>899.37</v>
      </c>
    </row>
    <row r="57" spans="1:7">
      <c r="A57" s="218" t="s">
        <v>137</v>
      </c>
      <c r="B57" s="228"/>
      <c r="C57" s="229" t="s">
        <v>138</v>
      </c>
      <c r="D57" s="228"/>
      <c r="E57" s="230"/>
      <c r="F57" s="231"/>
      <c r="G57" s="231">
        <v>2691.86</v>
      </c>
    </row>
    <row r="58" spans="1:7" ht="30">
      <c r="A58" s="223" t="s">
        <v>139</v>
      </c>
      <c r="B58" s="232">
        <v>87251</v>
      </c>
      <c r="C58" s="233" t="s">
        <v>140</v>
      </c>
      <c r="D58" s="232" t="s">
        <v>451</v>
      </c>
      <c r="E58" s="234">
        <v>29.5</v>
      </c>
      <c r="F58" s="235">
        <v>46.16</v>
      </c>
      <c r="G58" s="235">
        <v>1361.72</v>
      </c>
    </row>
    <row r="59" spans="1:7" ht="30">
      <c r="A59" s="223" t="s">
        <v>141</v>
      </c>
      <c r="B59" s="232">
        <v>98680</v>
      </c>
      <c r="C59" s="233" t="s">
        <v>849</v>
      </c>
      <c r="D59" s="232" t="s">
        <v>451</v>
      </c>
      <c r="E59" s="234">
        <v>26.38</v>
      </c>
      <c r="F59" s="235">
        <v>37.31</v>
      </c>
      <c r="G59" s="235">
        <v>984.23</v>
      </c>
    </row>
    <row r="60" spans="1:7">
      <c r="A60" s="223" t="s">
        <v>143</v>
      </c>
      <c r="B60" s="232" t="s">
        <v>144</v>
      </c>
      <c r="C60" s="233" t="s">
        <v>145</v>
      </c>
      <c r="D60" s="232" t="s">
        <v>31</v>
      </c>
      <c r="E60" s="234">
        <v>41.23</v>
      </c>
      <c r="F60" s="232">
        <v>8.39</v>
      </c>
      <c r="G60" s="235">
        <v>345.91</v>
      </c>
    </row>
    <row r="61" spans="1:7">
      <c r="A61" s="218" t="s">
        <v>146</v>
      </c>
      <c r="B61" s="228"/>
      <c r="C61" s="229" t="s">
        <v>147</v>
      </c>
      <c r="D61" s="228"/>
      <c r="E61" s="230"/>
      <c r="F61" s="231"/>
      <c r="G61" s="231">
        <v>45719.55</v>
      </c>
    </row>
    <row r="62" spans="1:7" ht="30">
      <c r="A62" s="223" t="s">
        <v>148</v>
      </c>
      <c r="B62" s="232" t="s">
        <v>149</v>
      </c>
      <c r="C62" s="233" t="s">
        <v>871</v>
      </c>
      <c r="D62" s="232" t="s">
        <v>451</v>
      </c>
      <c r="E62" s="234">
        <v>9.4499999999999993</v>
      </c>
      <c r="F62" s="235">
        <v>272.14</v>
      </c>
      <c r="G62" s="235">
        <v>2571.7199999999998</v>
      </c>
    </row>
    <row r="63" spans="1:7" ht="60">
      <c r="A63" s="223" t="s">
        <v>151</v>
      </c>
      <c r="B63" s="232" t="s">
        <v>152</v>
      </c>
      <c r="C63" s="233" t="s">
        <v>153</v>
      </c>
      <c r="D63" s="232" t="s">
        <v>31</v>
      </c>
      <c r="E63" s="234">
        <v>50.65</v>
      </c>
      <c r="F63" s="235">
        <v>774.17</v>
      </c>
      <c r="G63" s="235">
        <v>39211.71</v>
      </c>
    </row>
    <row r="64" spans="1:7" ht="30">
      <c r="A64" s="223" t="s">
        <v>154</v>
      </c>
      <c r="B64" s="232" t="s">
        <v>155</v>
      </c>
      <c r="C64" s="233" t="s">
        <v>156</v>
      </c>
      <c r="D64" s="232" t="s">
        <v>451</v>
      </c>
      <c r="E64" s="234">
        <v>5.41</v>
      </c>
      <c r="F64" s="232">
        <v>233.84</v>
      </c>
      <c r="G64" s="235">
        <v>1265.07</v>
      </c>
    </row>
    <row r="65" spans="1:7">
      <c r="A65" s="223" t="s">
        <v>157</v>
      </c>
      <c r="B65" s="232" t="s">
        <v>158</v>
      </c>
      <c r="C65" s="233" t="s">
        <v>917</v>
      </c>
      <c r="D65" s="232" t="s">
        <v>451</v>
      </c>
      <c r="E65" s="234">
        <v>7.5</v>
      </c>
      <c r="F65" s="235">
        <v>356.14</v>
      </c>
      <c r="G65" s="235">
        <v>2671.05</v>
      </c>
    </row>
    <row r="66" spans="1:7">
      <c r="A66" s="218" t="s">
        <v>160</v>
      </c>
      <c r="B66" s="228"/>
      <c r="C66" s="229" t="s">
        <v>161</v>
      </c>
      <c r="D66" s="228"/>
      <c r="E66" s="230"/>
      <c r="F66" s="231"/>
      <c r="G66" s="231">
        <v>5998.1</v>
      </c>
    </row>
    <row r="67" spans="1:7">
      <c r="A67" s="223" t="s">
        <v>162</v>
      </c>
      <c r="B67" s="232" t="s">
        <v>163</v>
      </c>
      <c r="C67" s="233" t="s">
        <v>164</v>
      </c>
      <c r="D67" s="232" t="s">
        <v>451</v>
      </c>
      <c r="E67" s="234">
        <v>1.59</v>
      </c>
      <c r="F67" s="232">
        <v>205.08</v>
      </c>
      <c r="G67" s="235">
        <v>326.07</v>
      </c>
    </row>
    <row r="68" spans="1:7" ht="30">
      <c r="A68" s="223" t="s">
        <v>165</v>
      </c>
      <c r="B68" s="232" t="s">
        <v>166</v>
      </c>
      <c r="C68" s="233" t="s">
        <v>1536</v>
      </c>
      <c r="D68" s="232" t="s">
        <v>451</v>
      </c>
      <c r="E68" s="234">
        <v>34.770000000000003</v>
      </c>
      <c r="F68" s="235">
        <v>163.13</v>
      </c>
      <c r="G68" s="235">
        <v>5672.03</v>
      </c>
    </row>
    <row r="69" spans="1:7">
      <c r="A69" s="218" t="s">
        <v>169</v>
      </c>
      <c r="B69" s="228"/>
      <c r="C69" s="229" t="s">
        <v>170</v>
      </c>
      <c r="D69" s="228"/>
      <c r="E69" s="230"/>
      <c r="F69" s="231"/>
      <c r="G69" s="231">
        <v>1845.06</v>
      </c>
    </row>
    <row r="70" spans="1:7">
      <c r="A70" s="223" t="s">
        <v>1537</v>
      </c>
      <c r="B70" s="232">
        <v>98504</v>
      </c>
      <c r="C70" s="233" t="s">
        <v>172</v>
      </c>
      <c r="D70" s="232" t="s">
        <v>451</v>
      </c>
      <c r="E70" s="234">
        <v>83.77</v>
      </c>
      <c r="F70" s="235">
        <v>12.11</v>
      </c>
      <c r="G70" s="235">
        <v>1014.45</v>
      </c>
    </row>
    <row r="71" spans="1:7">
      <c r="A71" s="223" t="s">
        <v>1538</v>
      </c>
      <c r="B71" s="232">
        <v>98520</v>
      </c>
      <c r="C71" s="233" t="s">
        <v>174</v>
      </c>
      <c r="D71" s="232" t="s">
        <v>451</v>
      </c>
      <c r="E71" s="234">
        <v>83.77</v>
      </c>
      <c r="F71" s="232">
        <v>5.08</v>
      </c>
      <c r="G71" s="235">
        <v>425.55</v>
      </c>
    </row>
    <row r="72" spans="1:7" ht="30">
      <c r="A72" s="223" t="s">
        <v>1539</v>
      </c>
      <c r="B72" s="232">
        <v>98510</v>
      </c>
      <c r="C72" s="233" t="s">
        <v>176</v>
      </c>
      <c r="D72" s="232" t="s">
        <v>8</v>
      </c>
      <c r="E72" s="234">
        <v>6</v>
      </c>
      <c r="F72" s="235">
        <v>67.510000000000005</v>
      </c>
      <c r="G72" s="235">
        <v>405.06</v>
      </c>
    </row>
    <row r="73" spans="1:7">
      <c r="A73" s="218" t="s">
        <v>179</v>
      </c>
      <c r="B73" s="228"/>
      <c r="C73" s="229" t="s">
        <v>180</v>
      </c>
      <c r="D73" s="228"/>
      <c r="E73" s="230"/>
      <c r="F73" s="231"/>
      <c r="G73" s="231">
        <v>312.64</v>
      </c>
    </row>
    <row r="74" spans="1:7" ht="30">
      <c r="A74" s="223" t="s">
        <v>1540</v>
      </c>
      <c r="B74" s="232" t="s">
        <v>182</v>
      </c>
      <c r="C74" s="233" t="s">
        <v>183</v>
      </c>
      <c r="D74" s="232" t="s">
        <v>542</v>
      </c>
      <c r="E74" s="234">
        <v>1</v>
      </c>
      <c r="F74" s="232">
        <v>161.29</v>
      </c>
      <c r="G74" s="235">
        <v>161.29</v>
      </c>
    </row>
    <row r="75" spans="1:7">
      <c r="A75" s="223" t="s">
        <v>1541</v>
      </c>
      <c r="B75" s="232" t="s">
        <v>186</v>
      </c>
      <c r="C75" s="233" t="s">
        <v>187</v>
      </c>
      <c r="D75" s="232" t="s">
        <v>542</v>
      </c>
      <c r="E75" s="234">
        <v>5</v>
      </c>
      <c r="F75" s="232">
        <v>30.27</v>
      </c>
      <c r="G75" s="235">
        <v>151.35</v>
      </c>
    </row>
    <row r="76" spans="1:7">
      <c r="A76" s="218" t="s">
        <v>189</v>
      </c>
      <c r="B76" s="228"/>
      <c r="C76" s="229" t="s">
        <v>190</v>
      </c>
      <c r="D76" s="228"/>
      <c r="E76" s="230"/>
      <c r="F76" s="231"/>
      <c r="G76" s="231">
        <v>10685.56</v>
      </c>
    </row>
    <row r="77" spans="1:7">
      <c r="A77" s="218" t="s">
        <v>191</v>
      </c>
      <c r="B77" s="228"/>
      <c r="C77" s="229" t="s">
        <v>192</v>
      </c>
      <c r="D77" s="228"/>
      <c r="E77" s="230"/>
      <c r="F77" s="231"/>
      <c r="G77" s="231">
        <v>8630.92</v>
      </c>
    </row>
    <row r="78" spans="1:7" ht="45">
      <c r="A78" s="223" t="s">
        <v>193</v>
      </c>
      <c r="B78" s="232">
        <v>86942</v>
      </c>
      <c r="C78" s="233" t="s">
        <v>194</v>
      </c>
      <c r="D78" s="232" t="s">
        <v>8</v>
      </c>
      <c r="E78" s="234">
        <v>1</v>
      </c>
      <c r="F78" s="235">
        <v>237.55</v>
      </c>
      <c r="G78" s="235">
        <v>237.55</v>
      </c>
    </row>
    <row r="79" spans="1:7" ht="30">
      <c r="A79" s="223" t="s">
        <v>195</v>
      </c>
      <c r="B79" s="232">
        <v>86913</v>
      </c>
      <c r="C79" s="233" t="s">
        <v>196</v>
      </c>
      <c r="D79" s="232" t="s">
        <v>8</v>
      </c>
      <c r="E79" s="234">
        <v>2</v>
      </c>
      <c r="F79" s="235">
        <v>44.96</v>
      </c>
      <c r="G79" s="235">
        <v>89.92</v>
      </c>
    </row>
    <row r="80" spans="1:7" ht="30">
      <c r="A80" s="223" t="s">
        <v>197</v>
      </c>
      <c r="B80" s="232" t="s">
        <v>198</v>
      </c>
      <c r="C80" s="233" t="s">
        <v>199</v>
      </c>
      <c r="D80" s="232" t="s">
        <v>8</v>
      </c>
      <c r="E80" s="234">
        <v>1</v>
      </c>
      <c r="F80" s="235">
        <v>1362.96</v>
      </c>
      <c r="G80" s="235">
        <v>1362.96</v>
      </c>
    </row>
    <row r="81" spans="1:7" ht="30">
      <c r="A81" s="223" t="s">
        <v>200</v>
      </c>
      <c r="B81" s="232">
        <v>89712</v>
      </c>
      <c r="C81" s="233" t="s">
        <v>201</v>
      </c>
      <c r="D81" s="232" t="s">
        <v>31</v>
      </c>
      <c r="E81" s="234">
        <v>19.3</v>
      </c>
      <c r="F81" s="235">
        <v>27.33</v>
      </c>
      <c r="G81" s="235">
        <v>527.46</v>
      </c>
    </row>
    <row r="82" spans="1:7" ht="30">
      <c r="A82" s="223" t="s">
        <v>202</v>
      </c>
      <c r="B82" s="232">
        <v>89711</v>
      </c>
      <c r="C82" s="233" t="s">
        <v>203</v>
      </c>
      <c r="D82" s="232" t="s">
        <v>31</v>
      </c>
      <c r="E82" s="234">
        <v>37.22</v>
      </c>
      <c r="F82" s="235">
        <v>17.93</v>
      </c>
      <c r="G82" s="235">
        <v>667.35</v>
      </c>
    </row>
    <row r="83" spans="1:7" ht="60">
      <c r="A83" s="223" t="s">
        <v>204</v>
      </c>
      <c r="B83" s="232" t="s">
        <v>205</v>
      </c>
      <c r="C83" s="233" t="s">
        <v>206</v>
      </c>
      <c r="D83" s="232" t="s">
        <v>8</v>
      </c>
      <c r="E83" s="234">
        <v>1</v>
      </c>
      <c r="F83" s="235">
        <v>669.48</v>
      </c>
      <c r="G83" s="235">
        <v>669.48</v>
      </c>
    </row>
    <row r="84" spans="1:7">
      <c r="A84" s="223" t="s">
        <v>207</v>
      </c>
      <c r="B84" s="232" t="s">
        <v>208</v>
      </c>
      <c r="C84" s="233" t="s">
        <v>209</v>
      </c>
      <c r="D84" s="232" t="s">
        <v>8</v>
      </c>
      <c r="E84" s="234">
        <v>3</v>
      </c>
      <c r="F84" s="235">
        <v>21.09</v>
      </c>
      <c r="G84" s="235">
        <v>63.27</v>
      </c>
    </row>
    <row r="85" spans="1:7">
      <c r="A85" s="223" t="s">
        <v>210</v>
      </c>
      <c r="B85" s="232" t="s">
        <v>211</v>
      </c>
      <c r="C85" s="233" t="s">
        <v>1096</v>
      </c>
      <c r="D85" s="232" t="s">
        <v>542</v>
      </c>
      <c r="E85" s="234">
        <v>2</v>
      </c>
      <c r="F85" s="235">
        <v>6.84</v>
      </c>
      <c r="G85" s="235">
        <v>13.68</v>
      </c>
    </row>
    <row r="86" spans="1:7" ht="30">
      <c r="A86" s="223" t="s">
        <v>213</v>
      </c>
      <c r="B86" s="232">
        <v>89707</v>
      </c>
      <c r="C86" s="233" t="s">
        <v>214</v>
      </c>
      <c r="D86" s="232" t="s">
        <v>8</v>
      </c>
      <c r="E86" s="234">
        <v>1</v>
      </c>
      <c r="F86" s="235">
        <v>36.94</v>
      </c>
      <c r="G86" s="235">
        <v>36.94</v>
      </c>
    </row>
    <row r="87" spans="1:7" ht="45">
      <c r="A87" s="223" t="s">
        <v>215</v>
      </c>
      <c r="B87" s="232">
        <v>103001</v>
      </c>
      <c r="C87" s="233" t="s">
        <v>216</v>
      </c>
      <c r="D87" s="232" t="s">
        <v>8</v>
      </c>
      <c r="E87" s="234">
        <v>4</v>
      </c>
      <c r="F87" s="235">
        <v>166.42</v>
      </c>
      <c r="G87" s="235">
        <v>665.68</v>
      </c>
    </row>
    <row r="88" spans="1:7" ht="60">
      <c r="A88" s="223" t="s">
        <v>217</v>
      </c>
      <c r="B88" s="232" t="s">
        <v>218</v>
      </c>
      <c r="C88" s="233" t="s">
        <v>219</v>
      </c>
      <c r="D88" s="232" t="s">
        <v>8</v>
      </c>
      <c r="E88" s="234">
        <v>1</v>
      </c>
      <c r="F88" s="235">
        <v>490.27</v>
      </c>
      <c r="G88" s="235">
        <v>490.27</v>
      </c>
    </row>
    <row r="89" spans="1:7" ht="60">
      <c r="A89" s="223" t="s">
        <v>220</v>
      </c>
      <c r="B89" s="232" t="s">
        <v>221</v>
      </c>
      <c r="C89" s="233" t="s">
        <v>222</v>
      </c>
      <c r="D89" s="232" t="s">
        <v>8</v>
      </c>
      <c r="E89" s="234">
        <v>1</v>
      </c>
      <c r="F89" s="235">
        <v>164.1</v>
      </c>
      <c r="G89" s="235">
        <v>164.1</v>
      </c>
    </row>
    <row r="90" spans="1:7" ht="30">
      <c r="A90" s="223" t="s">
        <v>223</v>
      </c>
      <c r="B90" s="232" t="s">
        <v>224</v>
      </c>
      <c r="C90" s="233" t="s">
        <v>225</v>
      </c>
      <c r="D90" s="232" t="s">
        <v>542</v>
      </c>
      <c r="E90" s="234">
        <v>1</v>
      </c>
      <c r="F90" s="235">
        <v>52.1</v>
      </c>
      <c r="G90" s="235">
        <v>52.1</v>
      </c>
    </row>
    <row r="91" spans="1:7">
      <c r="A91" s="223" t="s">
        <v>226</v>
      </c>
      <c r="B91" s="232" t="s">
        <v>227</v>
      </c>
      <c r="C91" s="233" t="s">
        <v>228</v>
      </c>
      <c r="D91" s="232" t="s">
        <v>542</v>
      </c>
      <c r="E91" s="234">
        <v>1</v>
      </c>
      <c r="F91" s="235">
        <v>54</v>
      </c>
      <c r="G91" s="235">
        <v>54</v>
      </c>
    </row>
    <row r="92" spans="1:7" ht="30">
      <c r="A92" s="223" t="s">
        <v>229</v>
      </c>
      <c r="B92" s="232">
        <v>89784</v>
      </c>
      <c r="C92" s="233" t="s">
        <v>230</v>
      </c>
      <c r="D92" s="232" t="s">
        <v>8</v>
      </c>
      <c r="E92" s="234">
        <v>3</v>
      </c>
      <c r="F92" s="235">
        <v>19.21</v>
      </c>
      <c r="G92" s="235">
        <v>57.63</v>
      </c>
    </row>
    <row r="93" spans="1:7" ht="30">
      <c r="A93" s="223" t="s">
        <v>231</v>
      </c>
      <c r="B93" s="232">
        <v>89782</v>
      </c>
      <c r="C93" s="233" t="s">
        <v>232</v>
      </c>
      <c r="D93" s="232" t="s">
        <v>8</v>
      </c>
      <c r="E93" s="234">
        <v>15</v>
      </c>
      <c r="F93" s="235">
        <v>11.13</v>
      </c>
      <c r="G93" s="235">
        <v>166.95</v>
      </c>
    </row>
    <row r="94" spans="1:7" ht="30">
      <c r="A94" s="223" t="s">
        <v>233</v>
      </c>
      <c r="B94" s="232">
        <v>89726</v>
      </c>
      <c r="C94" s="233" t="s">
        <v>234</v>
      </c>
      <c r="D94" s="232" t="s">
        <v>8</v>
      </c>
      <c r="E94" s="234">
        <v>7</v>
      </c>
      <c r="F94" s="235">
        <v>6.44</v>
      </c>
      <c r="G94" s="235">
        <v>45.08</v>
      </c>
    </row>
    <row r="95" spans="1:7" ht="30">
      <c r="A95" s="223" t="s">
        <v>235</v>
      </c>
      <c r="B95" s="232">
        <v>89732</v>
      </c>
      <c r="C95" s="233" t="s">
        <v>236</v>
      </c>
      <c r="D95" s="232" t="s">
        <v>8</v>
      </c>
      <c r="E95" s="234">
        <v>1</v>
      </c>
      <c r="F95" s="235">
        <v>10.7</v>
      </c>
      <c r="G95" s="235">
        <v>10.7</v>
      </c>
    </row>
    <row r="96" spans="1:7" ht="30">
      <c r="A96" s="223" t="s">
        <v>237</v>
      </c>
      <c r="B96" s="232">
        <v>89724</v>
      </c>
      <c r="C96" s="233" t="s">
        <v>238</v>
      </c>
      <c r="D96" s="232" t="s">
        <v>8</v>
      </c>
      <c r="E96" s="234">
        <v>27</v>
      </c>
      <c r="F96" s="235">
        <v>9.69</v>
      </c>
      <c r="G96" s="235">
        <v>261.63</v>
      </c>
    </row>
    <row r="97" spans="1:7" ht="30">
      <c r="A97" s="223" t="s">
        <v>239</v>
      </c>
      <c r="B97" s="232">
        <v>89801</v>
      </c>
      <c r="C97" s="233" t="s">
        <v>240</v>
      </c>
      <c r="D97" s="232" t="s">
        <v>8</v>
      </c>
      <c r="E97" s="234">
        <v>4</v>
      </c>
      <c r="F97" s="235">
        <v>6.68</v>
      </c>
      <c r="G97" s="235">
        <v>26.72</v>
      </c>
    </row>
    <row r="98" spans="1:7" ht="30">
      <c r="A98" s="223" t="s">
        <v>241</v>
      </c>
      <c r="B98" s="232">
        <v>89827</v>
      </c>
      <c r="C98" s="233" t="s">
        <v>242</v>
      </c>
      <c r="D98" s="232" t="s">
        <v>8</v>
      </c>
      <c r="E98" s="234">
        <v>2</v>
      </c>
      <c r="F98" s="235">
        <v>17.420000000000002</v>
      </c>
      <c r="G98" s="235">
        <v>34.840000000000003</v>
      </c>
    </row>
    <row r="99" spans="1:7" ht="30">
      <c r="A99" s="223" t="s">
        <v>243</v>
      </c>
      <c r="B99" s="232">
        <v>89752</v>
      </c>
      <c r="C99" s="233" t="s">
        <v>1183</v>
      </c>
      <c r="D99" s="232" t="s">
        <v>8</v>
      </c>
      <c r="E99" s="234">
        <v>5</v>
      </c>
      <c r="F99" s="235">
        <v>5.66</v>
      </c>
      <c r="G99" s="235">
        <v>28.3</v>
      </c>
    </row>
    <row r="100" spans="1:7" ht="30">
      <c r="A100" s="223" t="s">
        <v>245</v>
      </c>
      <c r="B100" s="232">
        <v>89813</v>
      </c>
      <c r="C100" s="233" t="s">
        <v>1188</v>
      </c>
      <c r="D100" s="232" t="s">
        <v>8</v>
      </c>
      <c r="E100" s="234">
        <v>7</v>
      </c>
      <c r="F100" s="235">
        <v>6.79</v>
      </c>
      <c r="G100" s="235">
        <v>47.53</v>
      </c>
    </row>
    <row r="101" spans="1:7" ht="30">
      <c r="A101" s="223" t="s">
        <v>247</v>
      </c>
      <c r="B101" s="232">
        <v>94492</v>
      </c>
      <c r="C101" s="233" t="s">
        <v>248</v>
      </c>
      <c r="D101" s="232" t="s">
        <v>8</v>
      </c>
      <c r="E101" s="234">
        <v>2</v>
      </c>
      <c r="F101" s="235">
        <v>54.39</v>
      </c>
      <c r="G101" s="235">
        <v>108.78</v>
      </c>
    </row>
    <row r="102" spans="1:7" ht="45">
      <c r="A102" s="223" t="s">
        <v>249</v>
      </c>
      <c r="B102" s="232">
        <v>89713</v>
      </c>
      <c r="C102" s="233" t="s">
        <v>250</v>
      </c>
      <c r="D102" s="232" t="s">
        <v>31</v>
      </c>
      <c r="E102" s="234">
        <v>60</v>
      </c>
      <c r="F102" s="235">
        <v>41.33</v>
      </c>
      <c r="G102" s="235">
        <v>2479.8000000000002</v>
      </c>
    </row>
    <row r="103" spans="1:7" ht="45">
      <c r="A103" s="223" t="s">
        <v>251</v>
      </c>
      <c r="B103" s="232">
        <v>89774</v>
      </c>
      <c r="C103" s="233" t="s">
        <v>1203</v>
      </c>
      <c r="D103" s="232" t="s">
        <v>8</v>
      </c>
      <c r="E103" s="234">
        <v>10</v>
      </c>
      <c r="F103" s="232">
        <v>14.62</v>
      </c>
      <c r="G103" s="235">
        <v>146.19999999999999</v>
      </c>
    </row>
    <row r="104" spans="1:7" ht="45">
      <c r="A104" s="223" t="s">
        <v>253</v>
      </c>
      <c r="B104" s="232">
        <v>89806</v>
      </c>
      <c r="C104" s="233" t="s">
        <v>254</v>
      </c>
      <c r="D104" s="232" t="s">
        <v>8</v>
      </c>
      <c r="E104" s="234">
        <v>8</v>
      </c>
      <c r="F104" s="235">
        <v>15.25</v>
      </c>
      <c r="G104" s="235">
        <v>122</v>
      </c>
    </row>
    <row r="105" spans="1:7">
      <c r="A105" s="218" t="s">
        <v>255</v>
      </c>
      <c r="B105" s="228"/>
      <c r="C105" s="229" t="s">
        <v>256</v>
      </c>
      <c r="D105" s="228"/>
      <c r="E105" s="230"/>
      <c r="F105" s="231"/>
      <c r="G105" s="231">
        <v>2054.64</v>
      </c>
    </row>
    <row r="106" spans="1:7" ht="45">
      <c r="A106" s="223" t="s">
        <v>257</v>
      </c>
      <c r="B106" s="232">
        <v>90373</v>
      </c>
      <c r="C106" s="233" t="s">
        <v>258</v>
      </c>
      <c r="D106" s="232" t="s">
        <v>8</v>
      </c>
      <c r="E106" s="234">
        <v>3</v>
      </c>
      <c r="F106" s="235">
        <v>15.42</v>
      </c>
      <c r="G106" s="235">
        <v>46.26</v>
      </c>
    </row>
    <row r="107" spans="1:7" ht="30">
      <c r="A107" s="223" t="s">
        <v>259</v>
      </c>
      <c r="B107" s="232">
        <v>89987</v>
      </c>
      <c r="C107" s="233" t="s">
        <v>260</v>
      </c>
      <c r="D107" s="232" t="s">
        <v>8</v>
      </c>
      <c r="E107" s="234">
        <v>1</v>
      </c>
      <c r="F107" s="235">
        <v>104.33</v>
      </c>
      <c r="G107" s="235">
        <v>104.33</v>
      </c>
    </row>
    <row r="108" spans="1:7" ht="60">
      <c r="A108" s="223" t="s">
        <v>261</v>
      </c>
      <c r="B108" s="232" t="s">
        <v>221</v>
      </c>
      <c r="C108" s="233" t="s">
        <v>222</v>
      </c>
      <c r="D108" s="232" t="s">
        <v>8</v>
      </c>
      <c r="E108" s="234">
        <v>1</v>
      </c>
      <c r="F108" s="235">
        <v>164.1</v>
      </c>
      <c r="G108" s="235">
        <v>164.1</v>
      </c>
    </row>
    <row r="109" spans="1:7" ht="30">
      <c r="A109" s="223" t="s">
        <v>262</v>
      </c>
      <c r="B109" s="232">
        <v>89362</v>
      </c>
      <c r="C109" s="233" t="s">
        <v>263</v>
      </c>
      <c r="D109" s="232" t="s">
        <v>8</v>
      </c>
      <c r="E109" s="234">
        <v>31</v>
      </c>
      <c r="F109" s="235">
        <v>7.48</v>
      </c>
      <c r="G109" s="235">
        <v>231.88</v>
      </c>
    </row>
    <row r="110" spans="1:7" ht="30">
      <c r="A110" s="223" t="s">
        <v>264</v>
      </c>
      <c r="B110" s="232">
        <v>89395</v>
      </c>
      <c r="C110" s="233" t="s">
        <v>265</v>
      </c>
      <c r="D110" s="232" t="s">
        <v>8</v>
      </c>
      <c r="E110" s="234">
        <v>3</v>
      </c>
      <c r="F110" s="235">
        <v>10.55</v>
      </c>
      <c r="G110" s="235">
        <v>31.65</v>
      </c>
    </row>
    <row r="111" spans="1:7" ht="45">
      <c r="A111" s="223" t="s">
        <v>266</v>
      </c>
      <c r="B111" s="232">
        <v>89396</v>
      </c>
      <c r="C111" s="233" t="s">
        <v>267</v>
      </c>
      <c r="D111" s="232" t="s">
        <v>8</v>
      </c>
      <c r="E111" s="234">
        <v>1</v>
      </c>
      <c r="F111" s="235">
        <v>21.7</v>
      </c>
      <c r="G111" s="235">
        <v>21.7</v>
      </c>
    </row>
    <row r="112" spans="1:7" ht="45">
      <c r="A112" s="223" t="s">
        <v>268</v>
      </c>
      <c r="B112" s="232">
        <v>89383</v>
      </c>
      <c r="C112" s="233" t="s">
        <v>269</v>
      </c>
      <c r="D112" s="232" t="s">
        <v>8</v>
      </c>
      <c r="E112" s="234">
        <v>2</v>
      </c>
      <c r="F112" s="235">
        <v>5.89</v>
      </c>
      <c r="G112" s="235">
        <v>11.78</v>
      </c>
    </row>
    <row r="113" spans="1:7" ht="30">
      <c r="A113" s="223" t="s">
        <v>270</v>
      </c>
      <c r="B113" s="232">
        <v>89356</v>
      </c>
      <c r="C113" s="233" t="s">
        <v>271</v>
      </c>
      <c r="D113" s="232" t="s">
        <v>31</v>
      </c>
      <c r="E113" s="234">
        <v>72</v>
      </c>
      <c r="F113" s="232">
        <v>19.39</v>
      </c>
      <c r="G113" s="235">
        <v>1396.08</v>
      </c>
    </row>
    <row r="114" spans="1:7" ht="30">
      <c r="A114" s="223" t="s">
        <v>272</v>
      </c>
      <c r="B114" s="232">
        <v>89424</v>
      </c>
      <c r="C114" s="233" t="s">
        <v>1246</v>
      </c>
      <c r="D114" s="232" t="s">
        <v>8</v>
      </c>
      <c r="E114" s="234">
        <v>11</v>
      </c>
      <c r="F114" s="235">
        <v>4.26</v>
      </c>
      <c r="G114" s="235">
        <v>46.86</v>
      </c>
    </row>
    <row r="115" spans="1:7">
      <c r="A115" s="218" t="s">
        <v>275</v>
      </c>
      <c r="B115" s="228"/>
      <c r="C115" s="229" t="s">
        <v>276</v>
      </c>
      <c r="D115" s="228"/>
      <c r="E115" s="230"/>
      <c r="F115" s="231"/>
      <c r="G115" s="231">
        <v>8811.42</v>
      </c>
    </row>
    <row r="116" spans="1:7" ht="30">
      <c r="A116" s="223" t="s">
        <v>277</v>
      </c>
      <c r="B116" s="232">
        <v>92979</v>
      </c>
      <c r="C116" s="233" t="s">
        <v>278</v>
      </c>
      <c r="D116" s="232" t="s">
        <v>31</v>
      </c>
      <c r="E116" s="234">
        <v>300</v>
      </c>
      <c r="F116" s="235">
        <v>9.48</v>
      </c>
      <c r="G116" s="235">
        <v>2844</v>
      </c>
    </row>
    <row r="117" spans="1:7" ht="45">
      <c r="A117" s="223" t="s">
        <v>279</v>
      </c>
      <c r="B117" s="232">
        <v>101878</v>
      </c>
      <c r="C117" s="233" t="s">
        <v>280</v>
      </c>
      <c r="D117" s="232" t="s">
        <v>8</v>
      </c>
      <c r="E117" s="234">
        <v>1</v>
      </c>
      <c r="F117" s="235">
        <v>687.39</v>
      </c>
      <c r="G117" s="235">
        <v>687.39</v>
      </c>
    </row>
    <row r="118" spans="1:7" ht="30">
      <c r="A118" s="223" t="s">
        <v>281</v>
      </c>
      <c r="B118" s="232">
        <v>93672</v>
      </c>
      <c r="C118" s="233" t="s">
        <v>282</v>
      </c>
      <c r="D118" s="232" t="s">
        <v>8</v>
      </c>
      <c r="E118" s="234">
        <v>2</v>
      </c>
      <c r="F118" s="235">
        <v>134.19</v>
      </c>
      <c r="G118" s="235">
        <v>268.38</v>
      </c>
    </row>
    <row r="119" spans="1:7" ht="30">
      <c r="A119" s="223" t="s">
        <v>283</v>
      </c>
      <c r="B119" s="232" t="s">
        <v>284</v>
      </c>
      <c r="C119" s="233" t="s">
        <v>285</v>
      </c>
      <c r="D119" s="232" t="s">
        <v>31</v>
      </c>
      <c r="E119" s="234">
        <v>75</v>
      </c>
      <c r="F119" s="235">
        <v>18.71</v>
      </c>
      <c r="G119" s="235">
        <v>1403.25</v>
      </c>
    </row>
    <row r="120" spans="1:7" ht="45">
      <c r="A120" s="223" t="s">
        <v>286</v>
      </c>
      <c r="B120" s="232">
        <v>97667</v>
      </c>
      <c r="C120" s="233" t="s">
        <v>287</v>
      </c>
      <c r="D120" s="232" t="s">
        <v>31</v>
      </c>
      <c r="E120" s="234">
        <v>36</v>
      </c>
      <c r="F120" s="235">
        <v>7.04</v>
      </c>
      <c r="G120" s="235">
        <v>253.44</v>
      </c>
    </row>
    <row r="121" spans="1:7" ht="60">
      <c r="A121" s="223" t="s">
        <v>288</v>
      </c>
      <c r="B121" s="232" t="s">
        <v>289</v>
      </c>
      <c r="C121" s="233" t="s">
        <v>290</v>
      </c>
      <c r="D121" s="232" t="s">
        <v>8</v>
      </c>
      <c r="E121" s="234">
        <v>1</v>
      </c>
      <c r="F121" s="235">
        <v>594.28</v>
      </c>
      <c r="G121" s="235">
        <v>594.28</v>
      </c>
    </row>
    <row r="122" spans="1:7" ht="30">
      <c r="A122" s="223" t="s">
        <v>291</v>
      </c>
      <c r="B122" s="232">
        <v>93653</v>
      </c>
      <c r="C122" s="233" t="s">
        <v>292</v>
      </c>
      <c r="D122" s="232" t="s">
        <v>8</v>
      </c>
      <c r="E122" s="234">
        <v>1</v>
      </c>
      <c r="F122" s="235">
        <v>18.55</v>
      </c>
      <c r="G122" s="235">
        <v>18.55</v>
      </c>
    </row>
    <row r="123" spans="1:7" ht="30">
      <c r="A123" s="223" t="s">
        <v>293</v>
      </c>
      <c r="B123" s="232">
        <v>93655</v>
      </c>
      <c r="C123" s="233" t="s">
        <v>294</v>
      </c>
      <c r="D123" s="232" t="s">
        <v>8</v>
      </c>
      <c r="E123" s="234">
        <v>1</v>
      </c>
      <c r="F123" s="235">
        <v>20</v>
      </c>
      <c r="G123" s="235">
        <v>20</v>
      </c>
    </row>
    <row r="124" spans="1:7" ht="30">
      <c r="A124" s="223" t="s">
        <v>295</v>
      </c>
      <c r="B124" s="232">
        <v>91924</v>
      </c>
      <c r="C124" s="233" t="s">
        <v>296</v>
      </c>
      <c r="D124" s="232" t="s">
        <v>31</v>
      </c>
      <c r="E124" s="234">
        <v>200</v>
      </c>
      <c r="F124" s="235">
        <v>2.44</v>
      </c>
      <c r="G124" s="235">
        <v>488</v>
      </c>
    </row>
    <row r="125" spans="1:7" ht="30">
      <c r="A125" s="223" t="s">
        <v>297</v>
      </c>
      <c r="B125" s="232">
        <v>91926</v>
      </c>
      <c r="C125" s="233" t="s">
        <v>298</v>
      </c>
      <c r="D125" s="232" t="s">
        <v>31</v>
      </c>
      <c r="E125" s="234">
        <v>180</v>
      </c>
      <c r="F125" s="235">
        <v>3.6</v>
      </c>
      <c r="G125" s="235">
        <v>648</v>
      </c>
    </row>
    <row r="126" spans="1:7" ht="30">
      <c r="A126" s="223" t="s">
        <v>299</v>
      </c>
      <c r="B126" s="232" t="s">
        <v>300</v>
      </c>
      <c r="C126" s="233" t="s">
        <v>301</v>
      </c>
      <c r="D126" s="232" t="s">
        <v>8</v>
      </c>
      <c r="E126" s="234">
        <v>5</v>
      </c>
      <c r="F126" s="235">
        <v>38.229999999999997</v>
      </c>
      <c r="G126" s="235">
        <v>191.15</v>
      </c>
    </row>
    <row r="127" spans="1:7" ht="30">
      <c r="A127" s="223" t="s">
        <v>302</v>
      </c>
      <c r="B127" s="232" t="s">
        <v>303</v>
      </c>
      <c r="C127" s="233" t="s">
        <v>304</v>
      </c>
      <c r="D127" s="232" t="s">
        <v>8</v>
      </c>
      <c r="E127" s="234">
        <v>5</v>
      </c>
      <c r="F127" s="235">
        <v>35.08</v>
      </c>
      <c r="G127" s="235">
        <v>175.4</v>
      </c>
    </row>
    <row r="128" spans="1:7" ht="30">
      <c r="A128" s="223" t="s">
        <v>305</v>
      </c>
      <c r="B128" s="232">
        <v>96986</v>
      </c>
      <c r="C128" s="233" t="s">
        <v>306</v>
      </c>
      <c r="D128" s="232" t="s">
        <v>8</v>
      </c>
      <c r="E128" s="234">
        <v>3</v>
      </c>
      <c r="F128" s="235">
        <v>135.79</v>
      </c>
      <c r="G128" s="235">
        <v>407.37</v>
      </c>
    </row>
    <row r="129" spans="1:7" ht="30">
      <c r="A129" s="223" t="s">
        <v>307</v>
      </c>
      <c r="B129" s="232">
        <v>98111</v>
      </c>
      <c r="C129" s="233" t="s">
        <v>308</v>
      </c>
      <c r="D129" s="232" t="s">
        <v>8</v>
      </c>
      <c r="E129" s="234">
        <v>3</v>
      </c>
      <c r="F129" s="235">
        <v>51.25</v>
      </c>
      <c r="G129" s="235">
        <v>153.75</v>
      </c>
    </row>
    <row r="130" spans="1:7">
      <c r="A130" s="223" t="s">
        <v>309</v>
      </c>
      <c r="B130" s="232" t="s">
        <v>310</v>
      </c>
      <c r="C130" s="233" t="s">
        <v>311</v>
      </c>
      <c r="D130" s="232" t="s">
        <v>31</v>
      </c>
      <c r="E130" s="234">
        <v>10</v>
      </c>
      <c r="F130" s="235">
        <v>11.17</v>
      </c>
      <c r="G130" s="235">
        <v>111.7</v>
      </c>
    </row>
    <row r="131" spans="1:7" ht="30">
      <c r="A131" s="223" t="s">
        <v>312</v>
      </c>
      <c r="B131" s="232" t="s">
        <v>313</v>
      </c>
      <c r="C131" s="233" t="s">
        <v>1542</v>
      </c>
      <c r="D131" s="232" t="s">
        <v>8</v>
      </c>
      <c r="E131" s="234">
        <v>12</v>
      </c>
      <c r="F131" s="232">
        <v>34.39</v>
      </c>
      <c r="G131" s="235">
        <v>412.68</v>
      </c>
    </row>
    <row r="132" spans="1:7" ht="30">
      <c r="A132" s="223" t="s">
        <v>315</v>
      </c>
      <c r="B132" s="232" t="s">
        <v>316</v>
      </c>
      <c r="C132" s="233" t="s">
        <v>317</v>
      </c>
      <c r="D132" s="232" t="s">
        <v>8</v>
      </c>
      <c r="E132" s="234">
        <v>4</v>
      </c>
      <c r="F132" s="235">
        <v>33.520000000000003</v>
      </c>
      <c r="G132" s="235">
        <v>134.08000000000001</v>
      </c>
    </row>
    <row r="133" spans="1:7">
      <c r="A133" s="218" t="s">
        <v>319</v>
      </c>
      <c r="B133" s="228"/>
      <c r="C133" s="229" t="s">
        <v>320</v>
      </c>
      <c r="D133" s="228"/>
      <c r="E133" s="230"/>
      <c r="F133" s="231"/>
      <c r="G133" s="231">
        <v>2208.9299999999998</v>
      </c>
    </row>
    <row r="134" spans="1:7">
      <c r="A134" s="223" t="s">
        <v>321</v>
      </c>
      <c r="B134" s="232" t="s">
        <v>322</v>
      </c>
      <c r="C134" s="233" t="s">
        <v>323</v>
      </c>
      <c r="D134" s="232" t="s">
        <v>451</v>
      </c>
      <c r="E134" s="234">
        <v>193.56</v>
      </c>
      <c r="F134" s="235">
        <v>5.17</v>
      </c>
      <c r="G134" s="235">
        <v>1000.7</v>
      </c>
    </row>
    <row r="135" spans="1:7" ht="30">
      <c r="A135" s="223" t="s">
        <v>324</v>
      </c>
      <c r="B135" s="232">
        <v>93358</v>
      </c>
      <c r="C135" s="233" t="s">
        <v>325</v>
      </c>
      <c r="D135" s="232" t="s">
        <v>468</v>
      </c>
      <c r="E135" s="234">
        <v>10.25</v>
      </c>
      <c r="F135" s="235">
        <v>59.97</v>
      </c>
      <c r="G135" s="235">
        <v>614.69000000000005</v>
      </c>
    </row>
    <row r="136" spans="1:7" ht="30">
      <c r="A136" s="223" t="s">
        <v>326</v>
      </c>
      <c r="B136" s="232" t="s">
        <v>327</v>
      </c>
      <c r="C136" s="233" t="s">
        <v>328</v>
      </c>
      <c r="D136" s="232" t="s">
        <v>542</v>
      </c>
      <c r="E136" s="234">
        <v>7</v>
      </c>
      <c r="F136" s="232">
        <v>43.34</v>
      </c>
      <c r="G136" s="235">
        <v>303.38</v>
      </c>
    </row>
    <row r="137" spans="1:7">
      <c r="A137" s="223" t="s">
        <v>329</v>
      </c>
      <c r="B137" s="232" t="s">
        <v>330</v>
      </c>
      <c r="C137" s="233" t="s">
        <v>331</v>
      </c>
      <c r="D137" s="232" t="s">
        <v>8</v>
      </c>
      <c r="E137" s="234">
        <v>6</v>
      </c>
      <c r="F137" s="232">
        <v>48.36</v>
      </c>
      <c r="G137" s="235">
        <v>290.16000000000003</v>
      </c>
    </row>
    <row r="138" spans="1:7">
      <c r="A138" s="218" t="s">
        <v>1543</v>
      </c>
      <c r="B138" s="228"/>
      <c r="C138" s="229" t="s">
        <v>333</v>
      </c>
      <c r="D138" s="228"/>
      <c r="E138" s="230"/>
      <c r="F138" s="228"/>
      <c r="G138" s="231">
        <v>36783.03</v>
      </c>
    </row>
    <row r="139" spans="1:7">
      <c r="A139" s="218" t="s">
        <v>334</v>
      </c>
      <c r="B139" s="228"/>
      <c r="C139" s="229" t="s">
        <v>38</v>
      </c>
      <c r="D139" s="228"/>
      <c r="E139" s="230"/>
      <c r="F139" s="231"/>
      <c r="G139" s="231">
        <v>7536.06</v>
      </c>
    </row>
    <row r="140" spans="1:7">
      <c r="A140" s="218" t="s">
        <v>335</v>
      </c>
      <c r="B140" s="228"/>
      <c r="C140" s="229" t="s">
        <v>336</v>
      </c>
      <c r="D140" s="228"/>
      <c r="E140" s="230"/>
      <c r="F140" s="231"/>
      <c r="G140" s="231">
        <v>5931.27</v>
      </c>
    </row>
    <row r="141" spans="1:7">
      <c r="A141" s="223" t="s">
        <v>337</v>
      </c>
      <c r="B141" s="232">
        <v>93358</v>
      </c>
      <c r="C141" s="233" t="s">
        <v>338</v>
      </c>
      <c r="D141" s="232" t="s">
        <v>468</v>
      </c>
      <c r="E141" s="234">
        <v>5.81</v>
      </c>
      <c r="F141" s="235">
        <v>59.97</v>
      </c>
      <c r="G141" s="235">
        <v>348.42</v>
      </c>
    </row>
    <row r="142" spans="1:7">
      <c r="A142" s="223" t="s">
        <v>339</v>
      </c>
      <c r="B142" s="232">
        <v>93382</v>
      </c>
      <c r="C142" s="233" t="s">
        <v>47</v>
      </c>
      <c r="D142" s="232" t="s">
        <v>468</v>
      </c>
      <c r="E142" s="234">
        <v>4.3159999999999998</v>
      </c>
      <c r="F142" s="235">
        <v>24.83</v>
      </c>
      <c r="G142" s="235">
        <v>107.16</v>
      </c>
    </row>
    <row r="143" spans="1:7" ht="30">
      <c r="A143" s="223" t="s">
        <v>340</v>
      </c>
      <c r="B143" s="232" t="s">
        <v>49</v>
      </c>
      <c r="C143" s="233" t="s">
        <v>341</v>
      </c>
      <c r="D143" s="232" t="s">
        <v>451</v>
      </c>
      <c r="E143" s="234">
        <v>15.2</v>
      </c>
      <c r="F143" s="235">
        <v>3.85</v>
      </c>
      <c r="G143" s="235">
        <v>58.52</v>
      </c>
    </row>
    <row r="144" spans="1:7" ht="30">
      <c r="A144" s="223" t="s">
        <v>342</v>
      </c>
      <c r="B144" s="232">
        <v>96557</v>
      </c>
      <c r="C144" s="233" t="s">
        <v>52</v>
      </c>
      <c r="D144" s="232" t="s">
        <v>468</v>
      </c>
      <c r="E144" s="234">
        <v>1.494</v>
      </c>
      <c r="F144" s="235">
        <v>511</v>
      </c>
      <c r="G144" s="235">
        <v>763.43</v>
      </c>
    </row>
    <row r="145" spans="1:7" ht="30">
      <c r="A145" s="223" t="s">
        <v>343</v>
      </c>
      <c r="B145" s="232" t="s">
        <v>54</v>
      </c>
      <c r="C145" s="233" t="s">
        <v>344</v>
      </c>
      <c r="D145" s="232" t="s">
        <v>451</v>
      </c>
      <c r="E145" s="234">
        <v>23.48</v>
      </c>
      <c r="F145" s="235">
        <v>49.08</v>
      </c>
      <c r="G145" s="235">
        <v>1152.3900000000001</v>
      </c>
    </row>
    <row r="146" spans="1:7">
      <c r="A146" s="223" t="s">
        <v>345</v>
      </c>
      <c r="B146" s="232">
        <v>98557</v>
      </c>
      <c r="C146" s="233" t="s">
        <v>57</v>
      </c>
      <c r="D146" s="232" t="s">
        <v>451</v>
      </c>
      <c r="E146" s="234">
        <v>24.9</v>
      </c>
      <c r="F146" s="235">
        <v>35.01</v>
      </c>
      <c r="G146" s="235">
        <v>871.74</v>
      </c>
    </row>
    <row r="147" spans="1:7" ht="30">
      <c r="A147" s="223" t="s">
        <v>346</v>
      </c>
      <c r="B147" s="232">
        <v>96543</v>
      </c>
      <c r="C147" s="233" t="s">
        <v>586</v>
      </c>
      <c r="D147" s="232" t="s">
        <v>60</v>
      </c>
      <c r="E147" s="234">
        <v>18.094000000000001</v>
      </c>
      <c r="F147" s="235">
        <v>17.12</v>
      </c>
      <c r="G147" s="235">
        <v>309.76</v>
      </c>
    </row>
    <row r="148" spans="1:7" ht="30">
      <c r="A148" s="223" t="s">
        <v>347</v>
      </c>
      <c r="B148" s="232">
        <v>96545</v>
      </c>
      <c r="C148" s="233" t="s">
        <v>62</v>
      </c>
      <c r="D148" s="232" t="s">
        <v>60</v>
      </c>
      <c r="E148" s="234">
        <v>52.456000000000003</v>
      </c>
      <c r="F148" s="235">
        <v>15.16</v>
      </c>
      <c r="G148" s="235">
        <v>795.23</v>
      </c>
    </row>
    <row r="149" spans="1:7" ht="30">
      <c r="A149" s="223" t="s">
        <v>348</v>
      </c>
      <c r="B149" s="232">
        <v>93205</v>
      </c>
      <c r="C149" s="233" t="s">
        <v>349</v>
      </c>
      <c r="D149" s="232" t="s">
        <v>31</v>
      </c>
      <c r="E149" s="234">
        <v>33.200000000000003</v>
      </c>
      <c r="F149" s="232">
        <v>32.619999999999997</v>
      </c>
      <c r="G149" s="235">
        <v>1082.98</v>
      </c>
    </row>
    <row r="150" spans="1:7" ht="30">
      <c r="A150" s="223" t="s">
        <v>350</v>
      </c>
      <c r="B150" s="232">
        <v>89998</v>
      </c>
      <c r="C150" s="233" t="s">
        <v>351</v>
      </c>
      <c r="D150" s="232" t="s">
        <v>60</v>
      </c>
      <c r="E150" s="234">
        <v>40.968800000000002</v>
      </c>
      <c r="F150" s="235">
        <v>10.78</v>
      </c>
      <c r="G150" s="235">
        <v>441.64</v>
      </c>
    </row>
    <row r="151" spans="1:7">
      <c r="A151" s="218" t="s">
        <v>352</v>
      </c>
      <c r="B151" s="228"/>
      <c r="C151" s="229" t="s">
        <v>64</v>
      </c>
      <c r="D151" s="228"/>
      <c r="E151" s="230"/>
      <c r="F151" s="231"/>
      <c r="G151" s="231">
        <v>1604.79</v>
      </c>
    </row>
    <row r="152" spans="1:7">
      <c r="A152" s="223" t="s">
        <v>354</v>
      </c>
      <c r="B152" s="232" t="s">
        <v>66</v>
      </c>
      <c r="C152" s="233" t="s">
        <v>67</v>
      </c>
      <c r="D152" s="232" t="s">
        <v>451</v>
      </c>
      <c r="E152" s="234">
        <v>15.2</v>
      </c>
      <c r="F152" s="235">
        <v>2.39</v>
      </c>
      <c r="G152" s="235">
        <v>36.32</v>
      </c>
    </row>
    <row r="153" spans="1:7" ht="30">
      <c r="A153" s="223" t="s">
        <v>355</v>
      </c>
      <c r="B153" s="232">
        <v>97092</v>
      </c>
      <c r="C153" s="233" t="s">
        <v>69</v>
      </c>
      <c r="D153" s="232" t="s">
        <v>60</v>
      </c>
      <c r="E153" s="234">
        <v>47.271999999999998</v>
      </c>
      <c r="F153" s="232">
        <v>18.03</v>
      </c>
      <c r="G153" s="235">
        <v>852.31</v>
      </c>
    </row>
    <row r="154" spans="1:7" ht="30">
      <c r="A154" s="223" t="s">
        <v>356</v>
      </c>
      <c r="B154" s="232">
        <v>97096</v>
      </c>
      <c r="C154" s="233" t="s">
        <v>71</v>
      </c>
      <c r="D154" s="232" t="s">
        <v>468</v>
      </c>
      <c r="E154" s="234">
        <v>1.52</v>
      </c>
      <c r="F154" s="232">
        <v>471.16</v>
      </c>
      <c r="G154" s="235">
        <v>716.16</v>
      </c>
    </row>
    <row r="155" spans="1:7">
      <c r="A155" s="218" t="s">
        <v>358</v>
      </c>
      <c r="B155" s="228"/>
      <c r="C155" s="229" t="s">
        <v>81</v>
      </c>
      <c r="D155" s="228"/>
      <c r="E155" s="230"/>
      <c r="F155" s="231"/>
      <c r="G155" s="231">
        <v>3106</v>
      </c>
    </row>
    <row r="156" spans="1:7">
      <c r="A156" s="218" t="s">
        <v>359</v>
      </c>
      <c r="B156" s="228"/>
      <c r="C156" s="229" t="s">
        <v>87</v>
      </c>
      <c r="D156" s="228"/>
      <c r="E156" s="230"/>
      <c r="F156" s="231"/>
      <c r="G156" s="231">
        <v>1497.4</v>
      </c>
    </row>
    <row r="157" spans="1:7" ht="30">
      <c r="A157" s="223" t="s">
        <v>360</v>
      </c>
      <c r="B157" s="232">
        <v>92580</v>
      </c>
      <c r="C157" s="233" t="s">
        <v>89</v>
      </c>
      <c r="D157" s="232" t="s">
        <v>451</v>
      </c>
      <c r="E157" s="234">
        <v>20</v>
      </c>
      <c r="F157" s="232">
        <v>46.67</v>
      </c>
      <c r="G157" s="235">
        <v>933.4</v>
      </c>
    </row>
    <row r="158" spans="1:7" ht="30">
      <c r="A158" s="223" t="s">
        <v>361</v>
      </c>
      <c r="B158" s="232" t="s">
        <v>91</v>
      </c>
      <c r="C158" s="233" t="s">
        <v>92</v>
      </c>
      <c r="D158" s="232" t="s">
        <v>451</v>
      </c>
      <c r="E158" s="234">
        <v>20</v>
      </c>
      <c r="F158" s="235">
        <v>28.2</v>
      </c>
      <c r="G158" s="235">
        <v>564</v>
      </c>
    </row>
    <row r="159" spans="1:7">
      <c r="A159" s="218" t="s">
        <v>362</v>
      </c>
      <c r="B159" s="228"/>
      <c r="C159" s="229" t="s">
        <v>363</v>
      </c>
      <c r="D159" s="228"/>
      <c r="E159" s="230"/>
      <c r="F159" s="228"/>
      <c r="G159" s="231">
        <v>1608.6</v>
      </c>
    </row>
    <row r="160" spans="1:7" ht="45">
      <c r="A160" s="223" t="s">
        <v>364</v>
      </c>
      <c r="B160" s="232" t="s">
        <v>96</v>
      </c>
      <c r="C160" s="233" t="s">
        <v>97</v>
      </c>
      <c r="D160" s="232" t="s">
        <v>451</v>
      </c>
      <c r="E160" s="234">
        <v>20</v>
      </c>
      <c r="F160" s="232">
        <v>80.430000000000007</v>
      </c>
      <c r="G160" s="235">
        <v>1608.6</v>
      </c>
    </row>
    <row r="161" spans="1:7">
      <c r="A161" s="218" t="s">
        <v>366</v>
      </c>
      <c r="B161" s="228"/>
      <c r="C161" s="229" t="s">
        <v>109</v>
      </c>
      <c r="D161" s="228"/>
      <c r="E161" s="230"/>
      <c r="F161" s="231"/>
      <c r="G161" s="231">
        <v>22384.19</v>
      </c>
    </row>
    <row r="162" spans="1:7">
      <c r="A162" s="218" t="s">
        <v>367</v>
      </c>
      <c r="B162" s="228"/>
      <c r="C162" s="229" t="s">
        <v>111</v>
      </c>
      <c r="D162" s="228"/>
      <c r="E162" s="230"/>
      <c r="F162" s="228"/>
      <c r="G162" s="231">
        <v>2803.92</v>
      </c>
    </row>
    <row r="163" spans="1:7" ht="45">
      <c r="A163" s="223" t="s">
        <v>368</v>
      </c>
      <c r="B163" s="232">
        <v>103322</v>
      </c>
      <c r="C163" s="233" t="s">
        <v>113</v>
      </c>
      <c r="D163" s="232" t="s">
        <v>451</v>
      </c>
      <c r="E163" s="234">
        <v>56</v>
      </c>
      <c r="F163" s="235">
        <v>50.07</v>
      </c>
      <c r="G163" s="235">
        <v>2803.92</v>
      </c>
    </row>
    <row r="164" spans="1:7">
      <c r="A164" s="218" t="s">
        <v>369</v>
      </c>
      <c r="B164" s="228"/>
      <c r="C164" s="229" t="s">
        <v>115</v>
      </c>
      <c r="D164" s="228"/>
      <c r="E164" s="230"/>
      <c r="F164" s="231"/>
      <c r="G164" s="231">
        <v>7211.68</v>
      </c>
    </row>
    <row r="165" spans="1:7">
      <c r="A165" s="223" t="s">
        <v>370</v>
      </c>
      <c r="B165" s="232">
        <v>87879</v>
      </c>
      <c r="C165" s="233" t="s">
        <v>117</v>
      </c>
      <c r="D165" s="232" t="s">
        <v>451</v>
      </c>
      <c r="E165" s="234">
        <v>112</v>
      </c>
      <c r="F165" s="235">
        <v>3.37</v>
      </c>
      <c r="G165" s="235">
        <v>377.44</v>
      </c>
    </row>
    <row r="166" spans="1:7" ht="30">
      <c r="A166" s="223" t="s">
        <v>371</v>
      </c>
      <c r="B166" s="232">
        <v>87794</v>
      </c>
      <c r="C166" s="233" t="s">
        <v>119</v>
      </c>
      <c r="D166" s="232" t="s">
        <v>451</v>
      </c>
      <c r="E166" s="234">
        <v>112</v>
      </c>
      <c r="F166" s="232">
        <v>33.19</v>
      </c>
      <c r="G166" s="235">
        <v>3717.28</v>
      </c>
    </row>
    <row r="167" spans="1:7" ht="45">
      <c r="A167" s="223" t="s">
        <v>372</v>
      </c>
      <c r="B167" s="232" t="s">
        <v>121</v>
      </c>
      <c r="C167" s="233" t="s">
        <v>122</v>
      </c>
      <c r="D167" s="232" t="s">
        <v>451</v>
      </c>
      <c r="E167" s="234">
        <v>56</v>
      </c>
      <c r="F167" s="235">
        <v>55.66</v>
      </c>
      <c r="G167" s="235">
        <v>3116.96</v>
      </c>
    </row>
    <row r="168" spans="1:7">
      <c r="A168" s="218" t="s">
        <v>373</v>
      </c>
      <c r="B168" s="228"/>
      <c r="C168" s="229" t="s">
        <v>374</v>
      </c>
      <c r="D168" s="228"/>
      <c r="E168" s="230"/>
      <c r="F168" s="231"/>
      <c r="G168" s="231">
        <v>2259.3200000000002</v>
      </c>
    </row>
    <row r="169" spans="1:7" ht="30">
      <c r="A169" s="223" t="s">
        <v>375</v>
      </c>
      <c r="B169" s="232">
        <v>100719</v>
      </c>
      <c r="C169" s="233" t="s">
        <v>376</v>
      </c>
      <c r="D169" s="232" t="s">
        <v>451</v>
      </c>
      <c r="E169" s="234">
        <v>47.04</v>
      </c>
      <c r="F169" s="232">
        <v>9.17</v>
      </c>
      <c r="G169" s="235">
        <v>431.35</v>
      </c>
    </row>
    <row r="170" spans="1:7" ht="45">
      <c r="A170" s="223" t="s">
        <v>377</v>
      </c>
      <c r="B170" s="232">
        <v>100761</v>
      </c>
      <c r="C170" s="233" t="s">
        <v>378</v>
      </c>
      <c r="D170" s="232" t="s">
        <v>451</v>
      </c>
      <c r="E170" s="234">
        <v>47.04</v>
      </c>
      <c r="F170" s="235">
        <v>38.86</v>
      </c>
      <c r="G170" s="235">
        <v>1827.97</v>
      </c>
    </row>
    <row r="171" spans="1:7">
      <c r="A171" s="218" t="s">
        <v>379</v>
      </c>
      <c r="B171" s="228"/>
      <c r="C171" s="229" t="s">
        <v>134</v>
      </c>
      <c r="D171" s="228"/>
      <c r="E171" s="230"/>
      <c r="F171" s="231"/>
      <c r="G171" s="231">
        <v>921.76</v>
      </c>
    </row>
    <row r="172" spans="1:7">
      <c r="A172" s="223" t="s">
        <v>380</v>
      </c>
      <c r="B172" s="232">
        <v>88485</v>
      </c>
      <c r="C172" s="233" t="s">
        <v>126</v>
      </c>
      <c r="D172" s="232" t="s">
        <v>451</v>
      </c>
      <c r="E172" s="234">
        <v>56</v>
      </c>
      <c r="F172" s="232">
        <v>2.6</v>
      </c>
      <c r="G172" s="235">
        <v>145.6</v>
      </c>
    </row>
    <row r="173" spans="1:7" ht="30">
      <c r="A173" s="223" t="s">
        <v>381</v>
      </c>
      <c r="B173" s="232">
        <v>88423</v>
      </c>
      <c r="C173" s="233" t="s">
        <v>136</v>
      </c>
      <c r="D173" s="232" t="s">
        <v>451</v>
      </c>
      <c r="E173" s="234">
        <v>56</v>
      </c>
      <c r="F173" s="235">
        <v>13.86</v>
      </c>
      <c r="G173" s="235">
        <v>776.16</v>
      </c>
    </row>
    <row r="174" spans="1:7">
      <c r="A174" s="218" t="s">
        <v>382</v>
      </c>
      <c r="B174" s="228"/>
      <c r="C174" s="229" t="s">
        <v>138</v>
      </c>
      <c r="D174" s="228"/>
      <c r="E174" s="230"/>
      <c r="F174" s="228"/>
      <c r="G174" s="231">
        <v>553.91999999999996</v>
      </c>
    </row>
    <row r="175" spans="1:7" ht="30">
      <c r="A175" s="223" t="s">
        <v>383</v>
      </c>
      <c r="B175" s="232">
        <v>87251</v>
      </c>
      <c r="C175" s="233" t="s">
        <v>140</v>
      </c>
      <c r="D175" s="232" t="s">
        <v>451</v>
      </c>
      <c r="E175" s="234">
        <v>12</v>
      </c>
      <c r="F175" s="235">
        <v>46.16</v>
      </c>
      <c r="G175" s="235">
        <v>553.91999999999996</v>
      </c>
    </row>
    <row r="176" spans="1:7">
      <c r="A176" s="218" t="s">
        <v>384</v>
      </c>
      <c r="B176" s="228"/>
      <c r="C176" s="229" t="s">
        <v>385</v>
      </c>
      <c r="D176" s="228"/>
      <c r="E176" s="230"/>
      <c r="F176" s="231"/>
      <c r="G176" s="231">
        <v>8633.59</v>
      </c>
    </row>
    <row r="177" spans="1:7" ht="45">
      <c r="A177" s="223" t="s">
        <v>386</v>
      </c>
      <c r="B177" s="232" t="s">
        <v>158</v>
      </c>
      <c r="C177" s="233" t="s">
        <v>1544</v>
      </c>
      <c r="D177" s="232" t="s">
        <v>451</v>
      </c>
      <c r="E177" s="234">
        <v>23.52</v>
      </c>
      <c r="F177" s="232">
        <v>356.14</v>
      </c>
      <c r="G177" s="235">
        <v>8376.41</v>
      </c>
    </row>
    <row r="178" spans="1:7" ht="30">
      <c r="A178" s="223" t="s">
        <v>388</v>
      </c>
      <c r="B178" s="232" t="s">
        <v>389</v>
      </c>
      <c r="C178" s="233" t="s">
        <v>390</v>
      </c>
      <c r="D178" s="232" t="s">
        <v>1459</v>
      </c>
      <c r="E178" s="234">
        <v>3.6</v>
      </c>
      <c r="F178" s="235">
        <v>71.44</v>
      </c>
      <c r="G178" s="235">
        <v>257.18</v>
      </c>
    </row>
    <row r="179" spans="1:7">
      <c r="A179" s="218" t="s">
        <v>392</v>
      </c>
      <c r="B179" s="228"/>
      <c r="C179" s="229" t="s">
        <v>190</v>
      </c>
      <c r="D179" s="228"/>
      <c r="E179" s="230"/>
      <c r="F179" s="231"/>
      <c r="G179" s="231">
        <v>1407.55</v>
      </c>
    </row>
    <row r="180" spans="1:7" ht="30">
      <c r="A180" s="223" t="s">
        <v>393</v>
      </c>
      <c r="B180" s="232">
        <v>86913</v>
      </c>
      <c r="C180" s="233" t="s">
        <v>196</v>
      </c>
      <c r="D180" s="232" t="s">
        <v>8</v>
      </c>
      <c r="E180" s="234">
        <v>4</v>
      </c>
      <c r="F180" s="235">
        <v>44.96</v>
      </c>
      <c r="G180" s="235">
        <v>179.84</v>
      </c>
    </row>
    <row r="181" spans="1:7" ht="45">
      <c r="A181" s="223" t="s">
        <v>394</v>
      </c>
      <c r="B181" s="232">
        <v>90373</v>
      </c>
      <c r="C181" s="233" t="s">
        <v>258</v>
      </c>
      <c r="D181" s="232" t="s">
        <v>8</v>
      </c>
      <c r="E181" s="234">
        <v>4</v>
      </c>
      <c r="F181" s="235">
        <v>15.42</v>
      </c>
      <c r="G181" s="235">
        <v>61.68</v>
      </c>
    </row>
    <row r="182" spans="1:7" ht="30">
      <c r="A182" s="223" t="s">
        <v>395</v>
      </c>
      <c r="B182" s="232">
        <v>89356</v>
      </c>
      <c r="C182" s="233" t="s">
        <v>271</v>
      </c>
      <c r="D182" s="232" t="s">
        <v>31</v>
      </c>
      <c r="E182" s="234">
        <v>24</v>
      </c>
      <c r="F182" s="235">
        <v>19.39</v>
      </c>
      <c r="G182" s="235">
        <v>465.36</v>
      </c>
    </row>
    <row r="183" spans="1:7" ht="30">
      <c r="A183" s="223" t="s">
        <v>396</v>
      </c>
      <c r="B183" s="232">
        <v>89362</v>
      </c>
      <c r="C183" s="233" t="s">
        <v>263</v>
      </c>
      <c r="D183" s="232" t="s">
        <v>8</v>
      </c>
      <c r="E183" s="234">
        <v>12</v>
      </c>
      <c r="F183" s="235">
        <v>7.48</v>
      </c>
      <c r="G183" s="235">
        <v>89.76</v>
      </c>
    </row>
    <row r="184" spans="1:7" ht="30">
      <c r="A184" s="223" t="s">
        <v>397</v>
      </c>
      <c r="B184" s="232">
        <v>89395</v>
      </c>
      <c r="C184" s="233" t="s">
        <v>265</v>
      </c>
      <c r="D184" s="232" t="s">
        <v>8</v>
      </c>
      <c r="E184" s="234">
        <v>4</v>
      </c>
      <c r="F184" s="235">
        <v>10.55</v>
      </c>
      <c r="G184" s="235">
        <v>42.2</v>
      </c>
    </row>
    <row r="185" spans="1:7">
      <c r="A185" s="223" t="s">
        <v>398</v>
      </c>
      <c r="B185" s="232" t="s">
        <v>208</v>
      </c>
      <c r="C185" s="233" t="s">
        <v>209</v>
      </c>
      <c r="D185" s="232" t="s">
        <v>8</v>
      </c>
      <c r="E185" s="234">
        <v>4</v>
      </c>
      <c r="F185" s="235">
        <v>21.09</v>
      </c>
      <c r="G185" s="235">
        <v>84.36</v>
      </c>
    </row>
    <row r="186" spans="1:7" ht="30">
      <c r="A186" s="223" t="s">
        <v>399</v>
      </c>
      <c r="B186" s="232">
        <v>89711</v>
      </c>
      <c r="C186" s="233" t="s">
        <v>203</v>
      </c>
      <c r="D186" s="232" t="s">
        <v>31</v>
      </c>
      <c r="E186" s="234">
        <v>24.14</v>
      </c>
      <c r="F186" s="232">
        <v>17.93</v>
      </c>
      <c r="G186" s="235">
        <v>432.83</v>
      </c>
    </row>
    <row r="187" spans="1:7" ht="30">
      <c r="A187" s="223" t="s">
        <v>400</v>
      </c>
      <c r="B187" s="232">
        <v>89726</v>
      </c>
      <c r="C187" s="233" t="s">
        <v>234</v>
      </c>
      <c r="D187" s="232" t="s">
        <v>8</v>
      </c>
      <c r="E187" s="234">
        <v>8</v>
      </c>
      <c r="F187" s="235">
        <v>6.44</v>
      </c>
      <c r="G187" s="235">
        <v>51.52</v>
      </c>
    </row>
    <row r="188" spans="1:7">
      <c r="A188" s="218" t="s">
        <v>402</v>
      </c>
      <c r="B188" s="228"/>
      <c r="C188" s="229" t="s">
        <v>276</v>
      </c>
      <c r="D188" s="228"/>
      <c r="E188" s="230"/>
      <c r="F188" s="231"/>
      <c r="G188" s="231">
        <v>2349.23</v>
      </c>
    </row>
    <row r="189" spans="1:7" ht="30">
      <c r="A189" s="223" t="s">
        <v>403</v>
      </c>
      <c r="B189" s="232">
        <v>93653</v>
      </c>
      <c r="C189" s="233" t="s">
        <v>292</v>
      </c>
      <c r="D189" s="232" t="s">
        <v>8</v>
      </c>
      <c r="E189" s="234">
        <v>4</v>
      </c>
      <c r="F189" s="235">
        <v>18.55</v>
      </c>
      <c r="G189" s="235">
        <v>74.2</v>
      </c>
    </row>
    <row r="190" spans="1:7" ht="30">
      <c r="A190" s="223" t="s">
        <v>404</v>
      </c>
      <c r="B190" s="232">
        <v>91926</v>
      </c>
      <c r="C190" s="233" t="s">
        <v>298</v>
      </c>
      <c r="D190" s="232" t="s">
        <v>31</v>
      </c>
      <c r="E190" s="234">
        <v>285</v>
      </c>
      <c r="F190" s="235">
        <v>3.6</v>
      </c>
      <c r="G190" s="235">
        <v>1026</v>
      </c>
    </row>
    <row r="191" spans="1:7" ht="30">
      <c r="A191" s="223" t="s">
        <v>405</v>
      </c>
      <c r="B191" s="232" t="s">
        <v>284</v>
      </c>
      <c r="C191" s="233" t="s">
        <v>285</v>
      </c>
      <c r="D191" s="232" t="s">
        <v>31</v>
      </c>
      <c r="E191" s="234">
        <v>21</v>
      </c>
      <c r="F191" s="235">
        <v>18.71</v>
      </c>
      <c r="G191" s="235">
        <v>392.91</v>
      </c>
    </row>
    <row r="192" spans="1:7" ht="30">
      <c r="A192" s="223" t="s">
        <v>406</v>
      </c>
      <c r="B192" s="232" t="s">
        <v>303</v>
      </c>
      <c r="C192" s="233" t="s">
        <v>304</v>
      </c>
      <c r="D192" s="232" t="s">
        <v>8</v>
      </c>
      <c r="E192" s="234">
        <v>4</v>
      </c>
      <c r="F192" s="235">
        <v>35.08</v>
      </c>
      <c r="G192" s="235">
        <v>140.32</v>
      </c>
    </row>
    <row r="193" spans="1:7" ht="30">
      <c r="A193" s="223" t="s">
        <v>407</v>
      </c>
      <c r="B193" s="232">
        <v>97607</v>
      </c>
      <c r="C193" s="233" t="s">
        <v>408</v>
      </c>
      <c r="D193" s="232" t="s">
        <v>8</v>
      </c>
      <c r="E193" s="234">
        <v>4</v>
      </c>
      <c r="F193" s="232">
        <v>145.43</v>
      </c>
      <c r="G193" s="232">
        <v>581.72</v>
      </c>
    </row>
    <row r="194" spans="1:7" ht="30">
      <c r="A194" s="223" t="s">
        <v>409</v>
      </c>
      <c r="B194" s="232" t="s">
        <v>316</v>
      </c>
      <c r="C194" s="233" t="s">
        <v>317</v>
      </c>
      <c r="D194" s="232" t="s">
        <v>8</v>
      </c>
      <c r="E194" s="234">
        <v>4</v>
      </c>
      <c r="F194" s="232">
        <v>33.520000000000003</v>
      </c>
      <c r="G194" s="236">
        <v>134.08000000000001</v>
      </c>
    </row>
    <row r="195" spans="1:7">
      <c r="A195" s="237"/>
      <c r="B195" s="238"/>
      <c r="C195" s="239"/>
      <c r="D195" s="238"/>
      <c r="E195" s="240"/>
      <c r="F195" s="238"/>
      <c r="G195" s="238"/>
    </row>
    <row r="196" spans="1:7">
      <c r="A196" s="335" t="s">
        <v>411</v>
      </c>
      <c r="B196" s="335"/>
      <c r="C196" s="335"/>
      <c r="D196" s="335"/>
      <c r="E196" s="335"/>
      <c r="F196" s="335"/>
      <c r="G196" s="241">
        <f>SUM(G138,G12,G8,G6,G4)</f>
        <v>192950.55000000002</v>
      </c>
    </row>
    <row r="197" spans="1:7">
      <c r="A197" s="335" t="s">
        <v>412</v>
      </c>
      <c r="B197" s="335"/>
      <c r="C197" s="335"/>
      <c r="D197" s="335"/>
      <c r="E197" s="335"/>
      <c r="F197" s="335"/>
      <c r="G197" s="241">
        <f>ROUND(G196*G2,2)</f>
        <v>60818.01</v>
      </c>
    </row>
    <row r="198" spans="1:7">
      <c r="A198" s="335" t="s">
        <v>413</v>
      </c>
      <c r="B198" s="335"/>
      <c r="C198" s="335"/>
      <c r="D198" s="335"/>
      <c r="E198" s="335"/>
      <c r="F198" s="335"/>
      <c r="G198" s="241">
        <f>SUM(G196:G197)+0.02</f>
        <v>253768.58000000002</v>
      </c>
    </row>
  </sheetData>
  <mergeCells count="7">
    <mergeCell ref="A197:F197"/>
    <mergeCell ref="A198:F198"/>
    <mergeCell ref="A1:D1"/>
    <mergeCell ref="E1:F1"/>
    <mergeCell ref="A2:D2"/>
    <mergeCell ref="E2:F2"/>
    <mergeCell ref="A196:F196"/>
  </mergeCells>
  <printOptions horizontalCentered="1" gridLines="1"/>
  <pageMargins left="0.7" right="0.7" top="0.75" bottom="0.75" header="0.51180555555555496" footer="0.51180555555555496"/>
  <pageSetup paperSize="0" scale="0" firstPageNumber="0" fitToHeight="0" pageOrder="overThenDown" orientation="portrait" usePrinterDefaults="0"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26"/>
  <sheetViews>
    <sheetView zoomScaleNormal="100" workbookViewId="0">
      <selection sqref="A1:D1"/>
    </sheetView>
  </sheetViews>
  <sheetFormatPr defaultRowHeight="15"/>
  <cols>
    <col min="1" max="1" width="9"/>
    <col min="2" max="2" width="8"/>
    <col min="3" max="3" width="49.5703125"/>
    <col min="4" max="4" width="9.7109375"/>
    <col min="5" max="6" width="9"/>
    <col min="7" max="24" width="7.85546875"/>
    <col min="25" max="1025" width="14.140625"/>
  </cols>
  <sheetData>
    <row r="1" spans="1:24" ht="62.25" customHeight="1">
      <c r="A1" s="331" t="s">
        <v>1494</v>
      </c>
      <c r="B1" s="331"/>
      <c r="C1" s="331"/>
      <c r="D1" s="331"/>
      <c r="E1" s="166"/>
      <c r="F1" s="166"/>
      <c r="G1" s="166"/>
      <c r="H1" s="166"/>
      <c r="I1" s="166"/>
      <c r="J1" s="166"/>
      <c r="K1" s="166"/>
      <c r="L1" s="166"/>
      <c r="M1" s="166"/>
      <c r="N1" s="166"/>
      <c r="O1" s="166"/>
      <c r="P1" s="166"/>
      <c r="Q1" s="166"/>
      <c r="R1" s="166"/>
      <c r="S1" s="166"/>
      <c r="T1" s="166"/>
      <c r="U1" s="166"/>
      <c r="V1" s="166"/>
      <c r="W1" s="166"/>
      <c r="X1" s="166"/>
    </row>
    <row r="2" spans="1:24" ht="33.75" customHeight="1">
      <c r="A2" s="332" t="s">
        <v>1545</v>
      </c>
      <c r="B2" s="332"/>
      <c r="C2" s="332"/>
      <c r="D2" s="332"/>
      <c r="E2" s="166"/>
      <c r="F2" s="166"/>
      <c r="G2" s="166"/>
      <c r="H2" s="166"/>
      <c r="I2" s="166"/>
      <c r="J2" s="166"/>
      <c r="K2" s="166"/>
      <c r="L2" s="166"/>
      <c r="M2" s="166"/>
      <c r="N2" s="166"/>
      <c r="O2" s="166"/>
      <c r="P2" s="166"/>
      <c r="Q2" s="166"/>
      <c r="R2" s="166"/>
      <c r="S2" s="166"/>
      <c r="T2" s="166"/>
      <c r="U2" s="166"/>
      <c r="V2" s="166"/>
      <c r="W2" s="166"/>
      <c r="X2" s="166"/>
    </row>
    <row r="3" spans="1:24">
      <c r="A3" s="169" t="s">
        <v>1496</v>
      </c>
      <c r="B3" s="170" t="s">
        <v>1497</v>
      </c>
      <c r="C3" s="171" t="s">
        <v>1498</v>
      </c>
      <c r="D3" s="172"/>
      <c r="E3" s="166"/>
      <c r="F3" s="166"/>
      <c r="G3" s="166"/>
      <c r="H3" s="166"/>
      <c r="I3" s="166"/>
      <c r="J3" s="166"/>
      <c r="K3" s="166"/>
      <c r="L3" s="166"/>
      <c r="M3" s="166"/>
      <c r="N3" s="166"/>
      <c r="O3" s="166"/>
      <c r="P3" s="166"/>
      <c r="Q3" s="166"/>
      <c r="R3" s="166"/>
      <c r="S3" s="166"/>
      <c r="T3" s="166"/>
      <c r="U3" s="166"/>
      <c r="V3" s="166"/>
      <c r="W3" s="166"/>
      <c r="X3" s="166"/>
    </row>
    <row r="4" spans="1:24">
      <c r="A4" s="173"/>
      <c r="B4" s="174" t="s">
        <v>1499</v>
      </c>
      <c r="C4" s="175" t="s">
        <v>1500</v>
      </c>
      <c r="D4" s="176">
        <v>0.04</v>
      </c>
      <c r="E4" s="166"/>
      <c r="F4" s="166"/>
      <c r="G4" s="166"/>
      <c r="H4" s="166"/>
      <c r="I4" s="166"/>
      <c r="J4" s="166"/>
      <c r="K4" s="166"/>
      <c r="L4" s="166"/>
      <c r="M4" s="166"/>
      <c r="N4" s="166"/>
      <c r="O4" s="166"/>
      <c r="P4" s="166"/>
      <c r="Q4" s="166"/>
      <c r="R4" s="166"/>
      <c r="S4" s="166"/>
      <c r="T4" s="166"/>
      <c r="U4" s="166"/>
      <c r="V4" s="166"/>
      <c r="W4" s="166"/>
      <c r="X4" s="166"/>
    </row>
    <row r="5" spans="1:24">
      <c r="A5" s="173"/>
      <c r="B5" s="174" t="s">
        <v>1501</v>
      </c>
      <c r="C5" s="175" t="s">
        <v>1502</v>
      </c>
      <c r="D5" s="176">
        <v>0.01</v>
      </c>
      <c r="E5" s="166"/>
      <c r="F5" s="166"/>
      <c r="G5" s="166"/>
      <c r="H5" s="166"/>
      <c r="I5" s="166"/>
      <c r="J5" s="166"/>
      <c r="K5" s="166"/>
      <c r="L5" s="166"/>
      <c r="M5" s="166"/>
      <c r="N5" s="166"/>
      <c r="O5" s="166"/>
      <c r="P5" s="166"/>
      <c r="Q5" s="166"/>
      <c r="R5" s="166"/>
      <c r="S5" s="166"/>
      <c r="T5" s="166"/>
      <c r="U5" s="166"/>
      <c r="V5" s="166"/>
      <c r="W5" s="166"/>
      <c r="X5" s="166"/>
    </row>
    <row r="6" spans="1:24">
      <c r="A6" s="173"/>
      <c r="B6" s="174" t="s">
        <v>1503</v>
      </c>
      <c r="C6" s="175" t="s">
        <v>1504</v>
      </c>
      <c r="D6" s="176">
        <v>1.2699999999999999E-2</v>
      </c>
      <c r="E6" s="166"/>
      <c r="F6" s="166"/>
      <c r="G6" s="166"/>
      <c r="H6" s="166"/>
      <c r="I6" s="166"/>
      <c r="J6" s="166"/>
      <c r="K6" s="166"/>
      <c r="L6" s="166"/>
      <c r="M6" s="166"/>
      <c r="N6" s="166"/>
      <c r="O6" s="166"/>
      <c r="P6" s="166"/>
      <c r="Q6" s="166"/>
      <c r="R6" s="166"/>
      <c r="S6" s="166"/>
      <c r="T6" s="166"/>
      <c r="U6" s="166"/>
      <c r="V6" s="166"/>
      <c r="W6" s="166"/>
      <c r="X6" s="166"/>
    </row>
    <row r="7" spans="1:24">
      <c r="A7" s="173"/>
      <c r="B7" s="174" t="s">
        <v>1505</v>
      </c>
      <c r="C7" s="175" t="s">
        <v>1506</v>
      </c>
      <c r="D7" s="176">
        <v>0</v>
      </c>
      <c r="E7" s="166"/>
      <c r="F7" s="166"/>
      <c r="G7" s="166"/>
      <c r="H7" s="166"/>
      <c r="I7" s="166"/>
      <c r="J7" s="166"/>
      <c r="K7" s="166"/>
      <c r="L7" s="166"/>
      <c r="M7" s="166"/>
      <c r="N7" s="166"/>
      <c r="O7" s="166"/>
      <c r="P7" s="166"/>
      <c r="Q7" s="166"/>
      <c r="R7" s="166"/>
      <c r="S7" s="166"/>
      <c r="T7" s="166"/>
      <c r="U7" s="166"/>
      <c r="V7" s="166"/>
      <c r="W7" s="166"/>
      <c r="X7" s="166"/>
    </row>
    <row r="8" spans="1:24">
      <c r="A8" s="177"/>
      <c r="B8" s="178"/>
      <c r="C8" s="179" t="s">
        <v>1507</v>
      </c>
      <c r="D8" s="180">
        <f>SUM(D4:D7)</f>
        <v>6.2700000000000006E-2</v>
      </c>
      <c r="E8" s="166"/>
      <c r="F8" s="166"/>
      <c r="G8" s="166"/>
      <c r="H8" s="166"/>
      <c r="I8" s="166"/>
      <c r="J8" s="166"/>
      <c r="K8" s="166"/>
      <c r="L8" s="166"/>
      <c r="M8" s="166"/>
      <c r="N8" s="166"/>
      <c r="O8" s="166"/>
      <c r="P8" s="166"/>
      <c r="Q8" s="166"/>
      <c r="R8" s="166"/>
      <c r="S8" s="166"/>
      <c r="T8" s="166"/>
      <c r="U8" s="166"/>
      <c r="V8" s="166"/>
      <c r="W8" s="166"/>
      <c r="X8" s="166"/>
    </row>
    <row r="9" spans="1:24">
      <c r="A9" s="181"/>
      <c r="B9" s="182"/>
      <c r="C9" s="86"/>
      <c r="D9" s="183"/>
      <c r="E9" s="166"/>
      <c r="F9" s="166"/>
      <c r="G9" s="166"/>
      <c r="H9" s="166"/>
      <c r="I9" s="166"/>
      <c r="J9" s="166"/>
      <c r="K9" s="166"/>
      <c r="L9" s="166"/>
      <c r="M9" s="166"/>
      <c r="N9" s="166"/>
      <c r="O9" s="166"/>
      <c r="P9" s="166"/>
      <c r="Q9" s="166"/>
      <c r="R9" s="166"/>
      <c r="S9" s="166"/>
      <c r="T9" s="166"/>
      <c r="U9" s="166"/>
      <c r="V9" s="166"/>
      <c r="W9" s="166"/>
      <c r="X9" s="166"/>
    </row>
    <row r="10" spans="1:24">
      <c r="A10" s="184" t="s">
        <v>1496</v>
      </c>
      <c r="B10" s="185" t="s">
        <v>1508</v>
      </c>
      <c r="C10" s="186" t="s">
        <v>1509</v>
      </c>
      <c r="D10" s="187"/>
      <c r="E10" s="166"/>
      <c r="F10" s="166"/>
      <c r="G10" s="166"/>
      <c r="H10" s="166"/>
      <c r="I10" s="166"/>
      <c r="J10" s="166"/>
      <c r="K10" s="166"/>
      <c r="L10" s="166"/>
      <c r="M10" s="166"/>
      <c r="N10" s="166"/>
      <c r="O10" s="166"/>
      <c r="P10" s="166"/>
      <c r="Q10" s="166"/>
      <c r="R10" s="166"/>
      <c r="S10" s="166"/>
      <c r="T10" s="166"/>
      <c r="U10" s="166"/>
      <c r="V10" s="166"/>
      <c r="W10" s="166"/>
      <c r="X10" s="166"/>
    </row>
    <row r="11" spans="1:24">
      <c r="A11" s="188"/>
      <c r="B11" s="189" t="s">
        <v>1510</v>
      </c>
      <c r="C11" s="175" t="s">
        <v>1511</v>
      </c>
      <c r="D11" s="176">
        <v>7.3999999999999996E-2</v>
      </c>
      <c r="E11" s="166"/>
      <c r="F11" s="166"/>
      <c r="G11" s="166"/>
      <c r="H11" s="166"/>
      <c r="I11" s="166"/>
      <c r="J11" s="166"/>
      <c r="K11" s="166"/>
      <c r="L11" s="166"/>
      <c r="M11" s="166"/>
      <c r="N11" s="166"/>
      <c r="O11" s="166"/>
      <c r="P11" s="166"/>
      <c r="Q11" s="166"/>
      <c r="R11" s="166"/>
      <c r="S11" s="166"/>
      <c r="T11" s="166"/>
      <c r="U11" s="166"/>
      <c r="V11" s="166"/>
      <c r="W11" s="166"/>
      <c r="X11" s="166"/>
    </row>
    <row r="12" spans="1:24">
      <c r="A12" s="177"/>
      <c r="B12" s="190"/>
      <c r="C12" s="191" t="s">
        <v>1512</v>
      </c>
      <c r="D12" s="180">
        <f>SUM(D11)</f>
        <v>7.3999999999999996E-2</v>
      </c>
      <c r="E12" s="166"/>
      <c r="F12" s="166"/>
      <c r="G12" s="166"/>
      <c r="H12" s="166"/>
      <c r="I12" s="166"/>
      <c r="J12" s="166"/>
      <c r="K12" s="166"/>
      <c r="L12" s="166"/>
      <c r="M12" s="166"/>
      <c r="N12" s="166"/>
      <c r="O12" s="166"/>
      <c r="P12" s="166"/>
      <c r="Q12" s="166"/>
      <c r="R12" s="166"/>
      <c r="S12" s="166"/>
      <c r="T12" s="166"/>
      <c r="U12" s="166"/>
      <c r="V12" s="166"/>
      <c r="W12" s="166"/>
      <c r="X12" s="166"/>
    </row>
    <row r="13" spans="1:24">
      <c r="A13" s="181"/>
      <c r="B13" s="182"/>
      <c r="C13" s="86"/>
      <c r="D13" s="183"/>
      <c r="E13" s="166"/>
      <c r="F13" s="166"/>
      <c r="G13" s="166"/>
      <c r="H13" s="166"/>
      <c r="I13" s="166"/>
      <c r="J13" s="166"/>
      <c r="K13" s="166"/>
      <c r="L13" s="166"/>
      <c r="M13" s="166"/>
      <c r="N13" s="166"/>
      <c r="O13" s="166"/>
      <c r="P13" s="166"/>
      <c r="Q13" s="166"/>
      <c r="R13" s="166"/>
      <c r="S13" s="166"/>
      <c r="T13" s="166"/>
      <c r="U13" s="166"/>
      <c r="V13" s="166"/>
      <c r="W13" s="166"/>
      <c r="X13" s="166"/>
    </row>
    <row r="14" spans="1:24">
      <c r="A14" s="184" t="s">
        <v>1496</v>
      </c>
      <c r="B14" s="192" t="s">
        <v>1513</v>
      </c>
      <c r="C14" s="193" t="s">
        <v>1514</v>
      </c>
      <c r="D14" s="194"/>
      <c r="E14" s="166"/>
      <c r="F14" s="166"/>
      <c r="G14" s="166"/>
      <c r="H14" s="166"/>
      <c r="I14" s="166"/>
      <c r="J14" s="166"/>
      <c r="K14" s="166"/>
      <c r="L14" s="166"/>
      <c r="M14" s="166"/>
      <c r="N14" s="166"/>
      <c r="O14" s="166"/>
      <c r="P14" s="166"/>
      <c r="Q14" s="166"/>
      <c r="R14" s="166"/>
      <c r="S14" s="166"/>
      <c r="T14" s="166"/>
      <c r="U14" s="166"/>
      <c r="V14" s="166"/>
      <c r="W14" s="166"/>
      <c r="X14" s="166"/>
    </row>
    <row r="15" spans="1:24">
      <c r="A15" s="188"/>
      <c r="B15" s="174" t="s">
        <v>1515</v>
      </c>
      <c r="C15" s="195" t="s">
        <v>1516</v>
      </c>
      <c r="D15" s="196">
        <v>6.4999999999999997E-3</v>
      </c>
      <c r="E15" s="166"/>
      <c r="F15" s="166"/>
      <c r="G15" s="166"/>
      <c r="H15" s="166"/>
      <c r="I15" s="166"/>
      <c r="J15" s="166"/>
      <c r="K15" s="166"/>
      <c r="L15" s="166"/>
      <c r="M15" s="166"/>
      <c r="N15" s="166"/>
      <c r="O15" s="166"/>
      <c r="P15" s="166"/>
      <c r="Q15" s="166"/>
      <c r="R15" s="166"/>
      <c r="S15" s="166"/>
      <c r="T15" s="166"/>
      <c r="U15" s="166"/>
      <c r="V15" s="166"/>
      <c r="W15" s="166"/>
      <c r="X15" s="166"/>
    </row>
    <row r="16" spans="1:24">
      <c r="A16" s="188"/>
      <c r="B16" s="174" t="s">
        <v>1517</v>
      </c>
      <c r="C16" s="195" t="s">
        <v>1518</v>
      </c>
      <c r="D16" s="196">
        <v>0.03</v>
      </c>
      <c r="E16" s="166"/>
      <c r="F16" s="166"/>
      <c r="G16" s="166"/>
      <c r="H16" s="166"/>
      <c r="I16" s="166"/>
      <c r="J16" s="166"/>
      <c r="K16" s="166"/>
      <c r="L16" s="166"/>
      <c r="M16" s="166"/>
      <c r="N16" s="166"/>
      <c r="O16" s="166"/>
      <c r="P16" s="166"/>
      <c r="Q16" s="166"/>
      <c r="R16" s="166"/>
      <c r="S16" s="166"/>
      <c r="T16" s="166"/>
      <c r="U16" s="166"/>
      <c r="V16" s="166"/>
      <c r="W16" s="166"/>
      <c r="X16" s="166"/>
    </row>
    <row r="17" spans="1:24">
      <c r="A17" s="188"/>
      <c r="B17" s="174" t="s">
        <v>1519</v>
      </c>
      <c r="C17" s="195" t="s">
        <v>1520</v>
      </c>
      <c r="D17" s="196">
        <v>0.04</v>
      </c>
      <c r="E17" s="166"/>
      <c r="F17" s="166"/>
      <c r="G17" s="166"/>
      <c r="H17" s="166"/>
      <c r="I17" s="166"/>
      <c r="J17" s="166"/>
      <c r="K17" s="166"/>
      <c r="L17" s="166"/>
      <c r="M17" s="166"/>
      <c r="N17" s="166"/>
      <c r="O17" s="166"/>
      <c r="P17" s="166"/>
      <c r="Q17" s="166"/>
      <c r="R17" s="166"/>
      <c r="S17" s="166"/>
      <c r="T17" s="166"/>
      <c r="U17" s="166"/>
      <c r="V17" s="166"/>
      <c r="W17" s="166"/>
      <c r="X17" s="166"/>
    </row>
    <row r="18" spans="1:24">
      <c r="A18" s="181"/>
      <c r="B18" s="197" t="s">
        <v>1521</v>
      </c>
      <c r="C18" s="198" t="s">
        <v>1522</v>
      </c>
      <c r="D18" s="199">
        <v>4.4999999999999998E-2</v>
      </c>
      <c r="E18" s="166"/>
      <c r="F18" s="166"/>
      <c r="G18" s="166"/>
      <c r="H18" s="166"/>
      <c r="I18" s="166"/>
      <c r="J18" s="166"/>
      <c r="K18" s="166"/>
      <c r="L18" s="166"/>
      <c r="M18" s="166"/>
      <c r="N18" s="166"/>
      <c r="O18" s="166"/>
      <c r="P18" s="166"/>
      <c r="Q18" s="166"/>
      <c r="R18" s="166"/>
      <c r="S18" s="166"/>
      <c r="T18" s="166"/>
      <c r="U18" s="166"/>
      <c r="V18" s="166"/>
      <c r="W18" s="166"/>
      <c r="X18" s="166"/>
    </row>
    <row r="19" spans="1:24">
      <c r="A19" s="177"/>
      <c r="B19" s="200"/>
      <c r="C19" s="191" t="s">
        <v>1523</v>
      </c>
      <c r="D19" s="180">
        <f>SUM(D15:D18)</f>
        <v>0.1215</v>
      </c>
      <c r="E19" s="166"/>
      <c r="F19" s="166"/>
      <c r="G19" s="166"/>
      <c r="H19" s="166"/>
      <c r="I19" s="166"/>
      <c r="J19" s="166"/>
      <c r="K19" s="166"/>
      <c r="L19" s="166"/>
      <c r="M19" s="166"/>
      <c r="N19" s="166"/>
      <c r="O19" s="166"/>
      <c r="P19" s="166"/>
      <c r="Q19" s="166"/>
      <c r="R19" s="166"/>
      <c r="S19" s="166"/>
      <c r="T19" s="166"/>
      <c r="U19" s="166"/>
      <c r="V19" s="166"/>
      <c r="W19" s="166"/>
      <c r="X19" s="166"/>
    </row>
    <row r="20" spans="1:24">
      <c r="A20" s="181"/>
      <c r="B20" s="201"/>
      <c r="C20" s="182"/>
      <c r="D20" s="202"/>
      <c r="E20" s="166"/>
      <c r="F20" s="166"/>
      <c r="G20" s="166"/>
      <c r="H20" s="166"/>
      <c r="I20" s="166"/>
      <c r="J20" s="166"/>
      <c r="K20" s="166"/>
      <c r="L20" s="166"/>
      <c r="M20" s="166"/>
      <c r="N20" s="166"/>
      <c r="O20" s="166"/>
      <c r="P20" s="166"/>
      <c r="Q20" s="166"/>
      <c r="R20" s="166"/>
      <c r="S20" s="166"/>
      <c r="T20" s="166"/>
      <c r="U20" s="166"/>
      <c r="V20" s="166"/>
      <c r="W20" s="166"/>
      <c r="X20" s="166"/>
    </row>
    <row r="21" spans="1:24" ht="15.75" customHeight="1">
      <c r="A21" s="184" t="s">
        <v>1496</v>
      </c>
      <c r="B21" s="192" t="s">
        <v>1524</v>
      </c>
      <c r="C21" s="193" t="s">
        <v>1525</v>
      </c>
      <c r="D21" s="194"/>
      <c r="E21" s="166"/>
      <c r="F21" s="166"/>
      <c r="G21" s="166"/>
      <c r="H21" s="166"/>
      <c r="I21" s="166"/>
      <c r="J21" s="166"/>
      <c r="K21" s="166"/>
      <c r="L21" s="166"/>
      <c r="M21" s="166"/>
      <c r="N21" s="166"/>
      <c r="O21" s="166"/>
      <c r="P21" s="166"/>
      <c r="Q21" s="166"/>
      <c r="R21" s="166"/>
      <c r="S21" s="166"/>
      <c r="T21" s="166"/>
      <c r="U21" s="166"/>
      <c r="V21" s="166"/>
      <c r="W21" s="166"/>
      <c r="X21" s="166"/>
    </row>
    <row r="22" spans="1:24" ht="15.75" customHeight="1">
      <c r="A22" s="203"/>
      <c r="B22" s="204"/>
      <c r="C22" s="198" t="s">
        <v>1526</v>
      </c>
      <c r="D22" s="196">
        <v>1.23E-2</v>
      </c>
      <c r="E22" s="166"/>
      <c r="F22" s="166"/>
      <c r="G22" s="166"/>
      <c r="H22" s="166"/>
      <c r="I22" s="166"/>
      <c r="J22" s="166"/>
      <c r="K22" s="166"/>
      <c r="L22" s="166"/>
      <c r="M22" s="166"/>
      <c r="N22" s="166"/>
      <c r="O22" s="166"/>
      <c r="P22" s="166"/>
      <c r="Q22" s="166"/>
      <c r="R22" s="166"/>
      <c r="S22" s="166"/>
      <c r="T22" s="166"/>
      <c r="U22" s="166"/>
      <c r="V22" s="166"/>
      <c r="W22" s="166"/>
      <c r="X22" s="166"/>
    </row>
    <row r="23" spans="1:24" ht="15.75" customHeight="1">
      <c r="A23" s="205"/>
      <c r="B23" s="179"/>
      <c r="C23" s="191" t="s">
        <v>1527</v>
      </c>
      <c r="D23" s="206">
        <f>SUM(D22)</f>
        <v>1.23E-2</v>
      </c>
      <c r="E23" s="166"/>
      <c r="F23" s="166"/>
      <c r="G23" s="166"/>
      <c r="H23" s="166"/>
      <c r="I23" s="166"/>
      <c r="J23" s="166"/>
      <c r="K23" s="166"/>
      <c r="L23" s="166"/>
      <c r="M23" s="166"/>
      <c r="N23" s="166"/>
      <c r="O23" s="166"/>
      <c r="P23" s="166"/>
      <c r="Q23" s="166"/>
      <c r="R23" s="166"/>
      <c r="S23" s="166"/>
      <c r="T23" s="166"/>
      <c r="U23" s="166"/>
      <c r="V23" s="166"/>
      <c r="W23" s="166"/>
      <c r="X23" s="166"/>
    </row>
    <row r="24" spans="1:24" ht="15.75" customHeight="1">
      <c r="A24" s="207"/>
      <c r="B24" s="208"/>
      <c r="C24" s="209"/>
      <c r="D24" s="210"/>
      <c r="E24" s="166"/>
      <c r="F24" s="166"/>
      <c r="G24" s="166"/>
      <c r="H24" s="166"/>
      <c r="I24" s="166"/>
      <c r="J24" s="166"/>
      <c r="K24" s="166"/>
      <c r="L24" s="166"/>
      <c r="M24" s="166"/>
      <c r="N24" s="166"/>
      <c r="O24" s="166"/>
      <c r="P24" s="166"/>
      <c r="Q24" s="166"/>
      <c r="R24" s="166"/>
      <c r="S24" s="166"/>
      <c r="T24" s="166"/>
      <c r="U24" s="166"/>
      <c r="V24" s="166"/>
      <c r="W24" s="166"/>
      <c r="X24" s="166"/>
    </row>
    <row r="25" spans="1:24" ht="15.75" customHeight="1">
      <c r="A25" s="333" t="s">
        <v>1528</v>
      </c>
      <c r="B25" s="333"/>
      <c r="C25" s="333"/>
      <c r="D25" s="333"/>
      <c r="E25" s="166"/>
      <c r="F25" s="166"/>
      <c r="G25" s="166"/>
      <c r="H25" s="166"/>
      <c r="I25" s="166"/>
      <c r="J25" s="166"/>
      <c r="K25" s="166"/>
      <c r="L25" s="166"/>
      <c r="M25" s="166"/>
      <c r="N25" s="166"/>
      <c r="O25" s="166"/>
      <c r="P25" s="166"/>
      <c r="Q25" s="166"/>
      <c r="R25" s="166"/>
      <c r="S25" s="166"/>
      <c r="T25" s="166"/>
      <c r="U25" s="166"/>
      <c r="V25" s="166"/>
      <c r="W25" s="166"/>
      <c r="X25" s="166"/>
    </row>
    <row r="26" spans="1:24" ht="15.75" customHeight="1">
      <c r="A26" s="334" t="s">
        <v>1529</v>
      </c>
      <c r="B26" s="334"/>
      <c r="C26" s="334"/>
      <c r="D26" s="211">
        <f>((((1+D8)*(1+D23)*(1+D12))/(1-D19)-1))</f>
        <v>0.31517163294251538</v>
      </c>
      <c r="E26" s="166"/>
      <c r="F26" s="166"/>
      <c r="G26" s="166"/>
      <c r="H26" s="166"/>
      <c r="I26" s="166"/>
      <c r="J26" s="166"/>
      <c r="K26" s="166"/>
      <c r="L26" s="166"/>
      <c r="M26" s="166"/>
      <c r="N26" s="166"/>
      <c r="O26" s="166"/>
      <c r="P26" s="166"/>
      <c r="Q26" s="166"/>
      <c r="R26" s="166"/>
      <c r="S26" s="166"/>
      <c r="T26" s="166"/>
      <c r="U26" s="166"/>
      <c r="V26" s="166"/>
      <c r="W26" s="166"/>
      <c r="X26" s="166"/>
    </row>
  </sheetData>
  <mergeCells count="4">
    <mergeCell ref="A1:D1"/>
    <mergeCell ref="A2:D2"/>
    <mergeCell ref="A25:D25"/>
    <mergeCell ref="A26:C26"/>
  </mergeCells>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454"/>
  <sheetViews>
    <sheetView zoomScaleNormal="100" workbookViewId="0">
      <selection sqref="A1:I1"/>
    </sheetView>
  </sheetViews>
  <sheetFormatPr defaultRowHeight="15"/>
  <cols>
    <col min="1" max="1" width="16.7109375"/>
    <col min="2" max="2" width="13"/>
    <col min="3" max="3" width="66.42578125"/>
    <col min="4" max="4" width="11.42578125"/>
    <col min="5" max="9" width="14.140625"/>
    <col min="10" max="10" width="19"/>
    <col min="11" max="11" width="18.140625"/>
    <col min="12" max="1025" width="14.140625"/>
  </cols>
  <sheetData>
    <row r="1" spans="1:11">
      <c r="A1" s="339" t="s">
        <v>1546</v>
      </c>
      <c r="B1" s="339"/>
      <c r="C1" s="339"/>
      <c r="D1" s="339"/>
      <c r="E1" s="339"/>
      <c r="F1" s="339"/>
      <c r="G1" s="339"/>
      <c r="H1" s="339"/>
      <c r="I1" s="339"/>
      <c r="J1" s="340" t="s">
        <v>1547</v>
      </c>
      <c r="K1" s="340"/>
    </row>
    <row r="2" spans="1:11">
      <c r="A2" s="339" t="s">
        <v>1548</v>
      </c>
      <c r="B2" s="339"/>
      <c r="C2" s="339"/>
      <c r="D2" s="339"/>
      <c r="E2" s="339"/>
      <c r="F2" s="339"/>
      <c r="G2" s="339"/>
      <c r="H2" s="339"/>
      <c r="I2" s="339"/>
      <c r="J2" s="340" t="s">
        <v>1549</v>
      </c>
      <c r="K2" s="340"/>
    </row>
    <row r="3" spans="1:11" ht="15" customHeight="1">
      <c r="A3" s="341" t="s">
        <v>418</v>
      </c>
      <c r="B3" s="341" t="s">
        <v>419</v>
      </c>
      <c r="C3" s="342" t="s">
        <v>420</v>
      </c>
      <c r="D3" s="341" t="s">
        <v>421</v>
      </c>
      <c r="E3" s="242" t="s">
        <v>1550</v>
      </c>
      <c r="F3" s="242" t="s">
        <v>1551</v>
      </c>
      <c r="G3" s="341" t="s">
        <v>424</v>
      </c>
      <c r="H3" s="341"/>
      <c r="I3" s="341" t="s">
        <v>1552</v>
      </c>
      <c r="J3" s="343" t="s">
        <v>1553</v>
      </c>
      <c r="K3" s="343" t="s">
        <v>1554</v>
      </c>
    </row>
    <row r="4" spans="1:11">
      <c r="A4" s="341"/>
      <c r="B4" s="341"/>
      <c r="C4" s="341"/>
      <c r="D4" s="341"/>
      <c r="E4" s="242" t="s">
        <v>1555</v>
      </c>
      <c r="F4" s="242" t="s">
        <v>1555</v>
      </c>
      <c r="G4" s="242" t="s">
        <v>1555</v>
      </c>
      <c r="H4" s="242" t="s">
        <v>1556</v>
      </c>
      <c r="I4" s="341"/>
      <c r="J4" s="341"/>
      <c r="K4" s="341"/>
    </row>
    <row r="5" spans="1:11">
      <c r="A5" s="243">
        <v>40818</v>
      </c>
      <c r="B5" s="243" t="s">
        <v>431</v>
      </c>
      <c r="C5" s="244" t="s">
        <v>439</v>
      </c>
      <c r="D5" s="243" t="s">
        <v>433</v>
      </c>
      <c r="E5" s="245">
        <v>4.0523999999999996</v>
      </c>
      <c r="F5" s="246">
        <v>5777.56</v>
      </c>
      <c r="G5" s="246">
        <v>23412.98</v>
      </c>
      <c r="H5" s="246">
        <v>23412.98</v>
      </c>
      <c r="I5" s="247">
        <v>0.1166</v>
      </c>
      <c r="J5" s="246">
        <v>23412.98</v>
      </c>
      <c r="K5" s="247">
        <v>0.1166</v>
      </c>
    </row>
    <row r="6" spans="1:11" ht="30">
      <c r="A6" s="243" t="s">
        <v>1557</v>
      </c>
      <c r="B6" s="243" t="s">
        <v>427</v>
      </c>
      <c r="C6" s="244" t="s">
        <v>901</v>
      </c>
      <c r="D6" s="243" t="s">
        <v>472</v>
      </c>
      <c r="E6" s="245">
        <v>170.184</v>
      </c>
      <c r="F6" s="243">
        <v>92.23</v>
      </c>
      <c r="G6" s="246">
        <v>15696.07</v>
      </c>
      <c r="H6" s="246">
        <v>15696.07</v>
      </c>
      <c r="I6" s="247">
        <v>7.8200000000000006E-2</v>
      </c>
      <c r="J6" s="246">
        <v>39109.050000000003</v>
      </c>
      <c r="K6" s="247">
        <v>0.19470000000000001</v>
      </c>
    </row>
    <row r="7" spans="1:11" ht="30">
      <c r="A7" s="243" t="s">
        <v>1558</v>
      </c>
      <c r="B7" s="243" t="s">
        <v>427</v>
      </c>
      <c r="C7" s="244" t="s">
        <v>917</v>
      </c>
      <c r="D7" s="243" t="s">
        <v>451</v>
      </c>
      <c r="E7" s="245">
        <v>31.02</v>
      </c>
      <c r="F7" s="243">
        <v>287</v>
      </c>
      <c r="G7" s="246">
        <v>8902.74</v>
      </c>
      <c r="H7" s="246">
        <v>8902.74</v>
      </c>
      <c r="I7" s="247">
        <v>4.4299999999999999E-2</v>
      </c>
      <c r="J7" s="246">
        <v>48011.79</v>
      </c>
      <c r="K7" s="247">
        <v>0.23910000000000001</v>
      </c>
    </row>
    <row r="8" spans="1:11">
      <c r="A8" s="243" t="s">
        <v>1559</v>
      </c>
      <c r="B8" s="243" t="s">
        <v>427</v>
      </c>
      <c r="C8" s="244" t="s">
        <v>1560</v>
      </c>
      <c r="D8" s="243" t="s">
        <v>520</v>
      </c>
      <c r="E8" s="245">
        <v>586.0534576</v>
      </c>
      <c r="F8" s="243">
        <v>11.85</v>
      </c>
      <c r="G8" s="246">
        <v>6944.73</v>
      </c>
      <c r="H8" s="246">
        <v>6944.73</v>
      </c>
      <c r="I8" s="247">
        <v>3.4599999999999999E-2</v>
      </c>
      <c r="J8" s="246">
        <v>54956.53</v>
      </c>
      <c r="K8" s="247">
        <v>0.2737</v>
      </c>
    </row>
    <row r="9" spans="1:11" ht="45">
      <c r="A9" s="243">
        <v>1525</v>
      </c>
      <c r="B9" s="243" t="s">
        <v>431</v>
      </c>
      <c r="C9" s="244" t="s">
        <v>558</v>
      </c>
      <c r="D9" s="243" t="s">
        <v>468</v>
      </c>
      <c r="E9" s="245">
        <v>14.7615</v>
      </c>
      <c r="F9" s="243">
        <v>430.55</v>
      </c>
      <c r="G9" s="246">
        <v>6355.56</v>
      </c>
      <c r="H9" s="246">
        <v>6355.56</v>
      </c>
      <c r="I9" s="247">
        <v>3.1600000000000003E-2</v>
      </c>
      <c r="J9" s="246">
        <v>61312.09</v>
      </c>
      <c r="K9" s="247">
        <v>0.30530000000000002</v>
      </c>
    </row>
    <row r="10" spans="1:11" ht="60">
      <c r="A10" s="243" t="s">
        <v>1561</v>
      </c>
      <c r="B10" s="243" t="s">
        <v>427</v>
      </c>
      <c r="C10" s="244" t="s">
        <v>705</v>
      </c>
      <c r="D10" s="243" t="s">
        <v>451</v>
      </c>
      <c r="E10" s="245">
        <v>117.6</v>
      </c>
      <c r="F10" s="243">
        <v>48.09</v>
      </c>
      <c r="G10" s="246">
        <v>5655.38</v>
      </c>
      <c r="H10" s="246">
        <v>5655.38</v>
      </c>
      <c r="I10" s="247">
        <v>2.8199999999999999E-2</v>
      </c>
      <c r="J10" s="246">
        <v>66967.48</v>
      </c>
      <c r="K10" s="247">
        <v>0.33350000000000002</v>
      </c>
    </row>
    <row r="11" spans="1:11" ht="30">
      <c r="A11" s="243">
        <v>40598</v>
      </c>
      <c r="B11" s="243" t="s">
        <v>431</v>
      </c>
      <c r="C11" s="244" t="s">
        <v>638</v>
      </c>
      <c r="D11" s="243" t="s">
        <v>60</v>
      </c>
      <c r="E11" s="245">
        <v>559.98</v>
      </c>
      <c r="F11" s="243">
        <v>8.7899999999999991</v>
      </c>
      <c r="G11" s="246">
        <v>4922.22</v>
      </c>
      <c r="H11" s="246">
        <v>4922.22</v>
      </c>
      <c r="I11" s="247">
        <v>2.4500000000000001E-2</v>
      </c>
      <c r="J11" s="246">
        <v>71889.7</v>
      </c>
      <c r="K11" s="247">
        <v>0.35799999999999998</v>
      </c>
    </row>
    <row r="12" spans="1:11">
      <c r="A12" s="243">
        <v>6111</v>
      </c>
      <c r="B12" s="243" t="s">
        <v>431</v>
      </c>
      <c r="C12" s="244" t="s">
        <v>1562</v>
      </c>
      <c r="D12" s="243" t="s">
        <v>520</v>
      </c>
      <c r="E12" s="245">
        <v>398.44124549999998</v>
      </c>
      <c r="F12" s="243">
        <v>11.85</v>
      </c>
      <c r="G12" s="246">
        <v>4721.53</v>
      </c>
      <c r="H12" s="246">
        <v>4721.53</v>
      </c>
      <c r="I12" s="247">
        <v>2.35E-2</v>
      </c>
      <c r="J12" s="246">
        <v>76611.23</v>
      </c>
      <c r="K12" s="247">
        <v>0.38150000000000001</v>
      </c>
    </row>
    <row r="13" spans="1:11">
      <c r="A13" s="243" t="s">
        <v>1563</v>
      </c>
      <c r="B13" s="243" t="s">
        <v>427</v>
      </c>
      <c r="C13" s="244" t="s">
        <v>807</v>
      </c>
      <c r="D13" s="243" t="s">
        <v>451</v>
      </c>
      <c r="E13" s="245">
        <v>160.24574999999999</v>
      </c>
      <c r="F13" s="243">
        <v>29.26</v>
      </c>
      <c r="G13" s="246">
        <v>4688.79</v>
      </c>
      <c r="H13" s="246">
        <v>4688.79</v>
      </c>
      <c r="I13" s="247">
        <v>2.3300000000000001E-2</v>
      </c>
      <c r="J13" s="246">
        <v>81300.02</v>
      </c>
      <c r="K13" s="247">
        <v>0.40479999999999999</v>
      </c>
    </row>
    <row r="14" spans="1:11" ht="45">
      <c r="A14" s="243">
        <v>7156</v>
      </c>
      <c r="B14" s="243" t="s">
        <v>431</v>
      </c>
      <c r="C14" s="244" t="s">
        <v>614</v>
      </c>
      <c r="D14" s="243" t="s">
        <v>451</v>
      </c>
      <c r="E14" s="245">
        <v>126.2201263</v>
      </c>
      <c r="F14" s="243">
        <v>36.83</v>
      </c>
      <c r="G14" s="246">
        <v>4648.6899999999996</v>
      </c>
      <c r="H14" s="246">
        <v>4648.6899999999996</v>
      </c>
      <c r="I14" s="247">
        <v>2.3099999999999999E-2</v>
      </c>
      <c r="J14" s="246">
        <v>85948.71</v>
      </c>
      <c r="K14" s="247">
        <v>0.42799999999999999</v>
      </c>
    </row>
    <row r="15" spans="1:11" ht="45">
      <c r="A15" s="243" t="s">
        <v>1564</v>
      </c>
      <c r="B15" s="243" t="s">
        <v>427</v>
      </c>
      <c r="C15" s="244" t="s">
        <v>897</v>
      </c>
      <c r="D15" s="243" t="s">
        <v>451</v>
      </c>
      <c r="E15" s="245">
        <v>170.184</v>
      </c>
      <c r="F15" s="243">
        <v>26.53</v>
      </c>
      <c r="G15" s="246">
        <v>4514.9799999999996</v>
      </c>
      <c r="H15" s="246">
        <v>4514.9799999999996</v>
      </c>
      <c r="I15" s="247">
        <v>2.2499999999999999E-2</v>
      </c>
      <c r="J15" s="246">
        <v>90463.69</v>
      </c>
      <c r="K15" s="247">
        <v>0.45050000000000001</v>
      </c>
    </row>
    <row r="16" spans="1:11">
      <c r="A16" s="243">
        <v>4750</v>
      </c>
      <c r="B16" s="243" t="s">
        <v>431</v>
      </c>
      <c r="C16" s="244" t="s">
        <v>1565</v>
      </c>
      <c r="D16" s="243" t="s">
        <v>520</v>
      </c>
      <c r="E16" s="243">
        <v>210.0389155</v>
      </c>
      <c r="F16" s="243">
        <v>17.920000000000002</v>
      </c>
      <c r="G16" s="246">
        <v>3763.9</v>
      </c>
      <c r="H16" s="246">
        <v>3763.9</v>
      </c>
      <c r="I16" s="247">
        <v>1.8700000000000001E-2</v>
      </c>
      <c r="J16" s="246">
        <v>94227.59</v>
      </c>
      <c r="K16" s="247">
        <v>0.46920000000000001</v>
      </c>
    </row>
    <row r="17" spans="1:11">
      <c r="A17" s="243" t="s">
        <v>1566</v>
      </c>
      <c r="B17" s="243" t="s">
        <v>427</v>
      </c>
      <c r="C17" s="244" t="s">
        <v>1567</v>
      </c>
      <c r="D17" s="243" t="s">
        <v>476</v>
      </c>
      <c r="E17" s="245">
        <v>6600.2591696</v>
      </c>
      <c r="F17" s="243">
        <v>0.56999999999999995</v>
      </c>
      <c r="G17" s="246">
        <v>3762.15</v>
      </c>
      <c r="H17" s="246">
        <v>3762.15</v>
      </c>
      <c r="I17" s="247">
        <v>1.8700000000000001E-2</v>
      </c>
      <c r="J17" s="246">
        <v>97989.73</v>
      </c>
      <c r="K17" s="247">
        <v>0.4879</v>
      </c>
    </row>
    <row r="18" spans="1:11" ht="30">
      <c r="A18" s="243">
        <v>37592</v>
      </c>
      <c r="B18" s="243" t="s">
        <v>431</v>
      </c>
      <c r="C18" s="244" t="s">
        <v>775</v>
      </c>
      <c r="D18" s="243" t="s">
        <v>8</v>
      </c>
      <c r="E18" s="246">
        <v>1559.376</v>
      </c>
      <c r="F18" s="243">
        <v>2</v>
      </c>
      <c r="G18" s="246">
        <v>3118.75</v>
      </c>
      <c r="H18" s="246">
        <v>3118.75</v>
      </c>
      <c r="I18" s="247">
        <v>1.55E-2</v>
      </c>
      <c r="J18" s="246">
        <v>101108.49</v>
      </c>
      <c r="K18" s="247">
        <v>0.50349999999999995</v>
      </c>
    </row>
    <row r="19" spans="1:11">
      <c r="A19" s="243">
        <v>4783</v>
      </c>
      <c r="B19" s="243" t="s">
        <v>431</v>
      </c>
      <c r="C19" s="244" t="s">
        <v>1568</v>
      </c>
      <c r="D19" s="243" t="s">
        <v>520</v>
      </c>
      <c r="E19" s="245">
        <v>168.26081719999999</v>
      </c>
      <c r="F19" s="243">
        <v>17.920000000000002</v>
      </c>
      <c r="G19" s="246">
        <v>3015.23</v>
      </c>
      <c r="H19" s="246">
        <v>3015.23</v>
      </c>
      <c r="I19" s="247">
        <v>1.4999999999999999E-2</v>
      </c>
      <c r="J19" s="246">
        <v>104123.72</v>
      </c>
      <c r="K19" s="247">
        <v>0.51849999999999996</v>
      </c>
    </row>
    <row r="20" spans="1:11" ht="30">
      <c r="A20" s="243">
        <v>980</v>
      </c>
      <c r="B20" s="243" t="s">
        <v>431</v>
      </c>
      <c r="C20" s="244" t="s">
        <v>1257</v>
      </c>
      <c r="D20" s="243" t="s">
        <v>31</v>
      </c>
      <c r="E20" s="245">
        <v>308.10000000000002</v>
      </c>
      <c r="F20" s="243">
        <v>8.89</v>
      </c>
      <c r="G20" s="246">
        <v>2739.01</v>
      </c>
      <c r="H20" s="246">
        <v>2739.01</v>
      </c>
      <c r="I20" s="247">
        <v>1.3599999999999999E-2</v>
      </c>
      <c r="J20" s="246">
        <v>106862.73</v>
      </c>
      <c r="K20" s="247">
        <v>0.53210000000000002</v>
      </c>
    </row>
    <row r="21" spans="1:11" ht="30">
      <c r="A21" s="243">
        <v>43083</v>
      </c>
      <c r="B21" s="243" t="s">
        <v>431</v>
      </c>
      <c r="C21" s="244" t="s">
        <v>657</v>
      </c>
      <c r="D21" s="243" t="s">
        <v>60</v>
      </c>
      <c r="E21" s="245">
        <v>280.56175000000002</v>
      </c>
      <c r="F21" s="243">
        <v>9.01</v>
      </c>
      <c r="G21" s="246">
        <v>2527.86</v>
      </c>
      <c r="H21" s="246">
        <v>2527.86</v>
      </c>
      <c r="I21" s="247">
        <v>1.26E-2</v>
      </c>
      <c r="J21" s="246">
        <v>109390.59</v>
      </c>
      <c r="K21" s="247">
        <v>0.54469999999999996</v>
      </c>
    </row>
    <row r="22" spans="1:11">
      <c r="A22" s="243" t="s">
        <v>1569</v>
      </c>
      <c r="B22" s="243" t="s">
        <v>427</v>
      </c>
      <c r="C22" s="244" t="s">
        <v>1570</v>
      </c>
      <c r="D22" s="243" t="s">
        <v>520</v>
      </c>
      <c r="E22" s="245">
        <v>140.61342869999999</v>
      </c>
      <c r="F22" s="243">
        <v>17.920000000000002</v>
      </c>
      <c r="G22" s="246">
        <v>2519.79</v>
      </c>
      <c r="H22" s="246">
        <v>2519.79</v>
      </c>
      <c r="I22" s="247">
        <v>1.2500000000000001E-2</v>
      </c>
      <c r="J22" s="246">
        <v>111910.38</v>
      </c>
      <c r="K22" s="247">
        <v>0.55730000000000002</v>
      </c>
    </row>
    <row r="23" spans="1:11">
      <c r="A23" s="243">
        <v>2696</v>
      </c>
      <c r="B23" s="243" t="s">
        <v>431</v>
      </c>
      <c r="C23" s="244" t="s">
        <v>1571</v>
      </c>
      <c r="D23" s="243" t="s">
        <v>520</v>
      </c>
      <c r="E23" s="245">
        <v>122.06165729999999</v>
      </c>
      <c r="F23" s="243">
        <v>17.920000000000002</v>
      </c>
      <c r="G23" s="246">
        <v>2187.34</v>
      </c>
      <c r="H23" s="246">
        <v>2187.34</v>
      </c>
      <c r="I23" s="247">
        <v>1.09E-2</v>
      </c>
      <c r="J23" s="246">
        <v>114097.73</v>
      </c>
      <c r="K23" s="247">
        <v>0.56810000000000005</v>
      </c>
    </row>
    <row r="24" spans="1:11" ht="30">
      <c r="A24" s="243">
        <v>40783</v>
      </c>
      <c r="B24" s="243" t="s">
        <v>431</v>
      </c>
      <c r="C24" s="244" t="s">
        <v>726</v>
      </c>
      <c r="D24" s="243" t="s">
        <v>31</v>
      </c>
      <c r="E24" s="245">
        <v>29.757000000000001</v>
      </c>
      <c r="F24" s="243">
        <v>65.790000000000006</v>
      </c>
      <c r="G24" s="246">
        <v>1957.71</v>
      </c>
      <c r="H24" s="246">
        <v>1957.71</v>
      </c>
      <c r="I24" s="247">
        <v>9.7000000000000003E-3</v>
      </c>
      <c r="J24" s="246">
        <v>116055.44</v>
      </c>
      <c r="K24" s="247">
        <v>0.57789999999999997</v>
      </c>
    </row>
    <row r="25" spans="1:11" ht="30">
      <c r="A25" s="243" t="s">
        <v>1572</v>
      </c>
      <c r="B25" s="243" t="s">
        <v>427</v>
      </c>
      <c r="C25" s="244" t="s">
        <v>471</v>
      </c>
      <c r="D25" s="243" t="s">
        <v>472</v>
      </c>
      <c r="E25" s="245">
        <v>233.79400000000001</v>
      </c>
      <c r="F25" s="243">
        <v>8.33</v>
      </c>
      <c r="G25" s="246">
        <v>1947.5</v>
      </c>
      <c r="H25" s="246">
        <v>1947.5</v>
      </c>
      <c r="I25" s="247">
        <v>9.7000000000000003E-3</v>
      </c>
      <c r="J25" s="246">
        <v>118002.94</v>
      </c>
      <c r="K25" s="247">
        <v>0.58760000000000001</v>
      </c>
    </row>
    <row r="26" spans="1:11">
      <c r="A26" s="243" t="s">
        <v>1573</v>
      </c>
      <c r="B26" s="243" t="s">
        <v>427</v>
      </c>
      <c r="C26" s="244" t="s">
        <v>877</v>
      </c>
      <c r="D26" s="243" t="s">
        <v>451</v>
      </c>
      <c r="E26" s="245">
        <v>9.4499999999999993</v>
      </c>
      <c r="F26" s="243">
        <v>203</v>
      </c>
      <c r="G26" s="246">
        <v>1918.35</v>
      </c>
      <c r="H26" s="246">
        <v>1918.35</v>
      </c>
      <c r="I26" s="247">
        <v>9.5999999999999992E-3</v>
      </c>
      <c r="J26" s="246">
        <v>119921.29</v>
      </c>
      <c r="K26" s="247">
        <v>0.59709999999999996</v>
      </c>
    </row>
    <row r="27" spans="1:11" ht="30">
      <c r="A27" s="243" t="s">
        <v>1574</v>
      </c>
      <c r="B27" s="243" t="s">
        <v>427</v>
      </c>
      <c r="C27" s="244" t="s">
        <v>1575</v>
      </c>
      <c r="D27" s="243" t="s">
        <v>1576</v>
      </c>
      <c r="E27" s="246">
        <v>1349.0697903</v>
      </c>
      <c r="F27" s="243">
        <v>1.41</v>
      </c>
      <c r="G27" s="246">
        <v>1902.19</v>
      </c>
      <c r="H27" s="246">
        <v>1902.19</v>
      </c>
      <c r="I27" s="247">
        <v>9.4999999999999998E-3</v>
      </c>
      <c r="J27" s="246">
        <v>121823.48</v>
      </c>
      <c r="K27" s="247">
        <v>0.60660000000000003</v>
      </c>
    </row>
    <row r="28" spans="1:11">
      <c r="A28" s="243">
        <v>1379</v>
      </c>
      <c r="B28" s="243" t="s">
        <v>431</v>
      </c>
      <c r="C28" s="244" t="s">
        <v>853</v>
      </c>
      <c r="D28" s="243" t="s">
        <v>60</v>
      </c>
      <c r="E28" s="245">
        <v>2781.1531780999999</v>
      </c>
      <c r="F28" s="243">
        <v>0.66</v>
      </c>
      <c r="G28" s="246">
        <v>1835.56</v>
      </c>
      <c r="H28" s="246">
        <v>1835.56</v>
      </c>
      <c r="I28" s="247">
        <v>9.1000000000000004E-3</v>
      </c>
      <c r="J28" s="246">
        <v>123659.04</v>
      </c>
      <c r="K28" s="247">
        <v>0.61580000000000001</v>
      </c>
    </row>
    <row r="29" spans="1:11">
      <c r="A29" s="243" t="s">
        <v>1577</v>
      </c>
      <c r="B29" s="243" t="s">
        <v>427</v>
      </c>
      <c r="C29" s="244" t="s">
        <v>1578</v>
      </c>
      <c r="D29" s="243" t="s">
        <v>520</v>
      </c>
      <c r="E29" s="245">
        <v>93.264720499999996</v>
      </c>
      <c r="F29" s="243">
        <v>19.43</v>
      </c>
      <c r="G29" s="246">
        <v>1812.13</v>
      </c>
      <c r="H29" s="246">
        <v>1812.13</v>
      </c>
      <c r="I29" s="247">
        <v>8.9999999999999993E-3</v>
      </c>
      <c r="J29" s="246">
        <v>125471.18</v>
      </c>
      <c r="K29" s="247">
        <v>0.62480000000000002</v>
      </c>
    </row>
    <row r="30" spans="1:11">
      <c r="A30" s="243" t="s">
        <v>1579</v>
      </c>
      <c r="B30" s="243" t="s">
        <v>427</v>
      </c>
      <c r="C30" s="244" t="s">
        <v>1580</v>
      </c>
      <c r="D30" s="243" t="s">
        <v>468</v>
      </c>
      <c r="E30" s="245">
        <v>19.727827600000001</v>
      </c>
      <c r="F30" s="243">
        <v>91.25</v>
      </c>
      <c r="G30" s="246">
        <v>1800.16</v>
      </c>
      <c r="H30" s="246">
        <v>1800.16</v>
      </c>
      <c r="I30" s="247">
        <v>8.9999999999999993E-3</v>
      </c>
      <c r="J30" s="246">
        <v>127271.34</v>
      </c>
      <c r="K30" s="247">
        <v>0.63370000000000004</v>
      </c>
    </row>
    <row r="31" spans="1:11" ht="30">
      <c r="A31" s="243" t="s">
        <v>1581</v>
      </c>
      <c r="B31" s="243" t="s">
        <v>427</v>
      </c>
      <c r="C31" s="244" t="s">
        <v>1582</v>
      </c>
      <c r="D31" s="243" t="s">
        <v>468</v>
      </c>
      <c r="E31" s="243">
        <v>17.276427699999999</v>
      </c>
      <c r="F31" s="243">
        <v>102</v>
      </c>
      <c r="G31" s="246">
        <v>1762.2</v>
      </c>
      <c r="H31" s="246">
        <v>1762.2</v>
      </c>
      <c r="I31" s="247">
        <v>8.8000000000000005E-3</v>
      </c>
      <c r="J31" s="246">
        <v>129033.54</v>
      </c>
      <c r="K31" s="247">
        <v>0.64249999999999996</v>
      </c>
    </row>
    <row r="32" spans="1:11">
      <c r="A32" s="243" t="s">
        <v>1583</v>
      </c>
      <c r="B32" s="243" t="s">
        <v>427</v>
      </c>
      <c r="C32" s="244" t="s">
        <v>1584</v>
      </c>
      <c r="D32" s="243" t="s">
        <v>520</v>
      </c>
      <c r="E32" s="245">
        <v>99.98</v>
      </c>
      <c r="F32" s="243">
        <v>17.43</v>
      </c>
      <c r="G32" s="246">
        <v>1742.65</v>
      </c>
      <c r="H32" s="246">
        <v>1742.65</v>
      </c>
      <c r="I32" s="247">
        <v>8.6999999999999994E-3</v>
      </c>
      <c r="J32" s="246">
        <v>130776.19</v>
      </c>
      <c r="K32" s="247">
        <v>0.6512</v>
      </c>
    </row>
    <row r="33" spans="1:11">
      <c r="A33" s="243">
        <v>37370</v>
      </c>
      <c r="B33" s="243" t="s">
        <v>431</v>
      </c>
      <c r="C33" s="244" t="s">
        <v>1585</v>
      </c>
      <c r="D33" s="243" t="s">
        <v>520</v>
      </c>
      <c r="E33" s="246">
        <v>1217.2826554000001</v>
      </c>
      <c r="F33" s="243">
        <v>1.41</v>
      </c>
      <c r="G33" s="246">
        <v>1716.37</v>
      </c>
      <c r="H33" s="246">
        <v>1716.37</v>
      </c>
      <c r="I33" s="247">
        <v>8.5000000000000006E-3</v>
      </c>
      <c r="J33" s="246">
        <v>132492.56</v>
      </c>
      <c r="K33" s="247">
        <v>0.65969999999999995</v>
      </c>
    </row>
    <row r="34" spans="1:11">
      <c r="A34" s="243" t="s">
        <v>1586</v>
      </c>
      <c r="B34" s="243" t="s">
        <v>427</v>
      </c>
      <c r="C34" s="244" t="s">
        <v>1587</v>
      </c>
      <c r="D34" s="243" t="s">
        <v>520</v>
      </c>
      <c r="E34" s="245">
        <v>91.718257600000001</v>
      </c>
      <c r="F34" s="243">
        <v>17.920000000000002</v>
      </c>
      <c r="G34" s="246">
        <v>1643.59</v>
      </c>
      <c r="H34" s="246">
        <v>1643.59</v>
      </c>
      <c r="I34" s="247">
        <v>8.2000000000000007E-3</v>
      </c>
      <c r="J34" s="246">
        <v>134136.15</v>
      </c>
      <c r="K34" s="247">
        <v>0.66790000000000005</v>
      </c>
    </row>
    <row r="35" spans="1:11">
      <c r="A35" s="243">
        <v>246</v>
      </c>
      <c r="B35" s="243" t="s">
        <v>431</v>
      </c>
      <c r="C35" s="244" t="s">
        <v>1588</v>
      </c>
      <c r="D35" s="243" t="s">
        <v>520</v>
      </c>
      <c r="E35" s="245">
        <v>118.96304670000001</v>
      </c>
      <c r="F35" s="243">
        <v>13.51</v>
      </c>
      <c r="G35" s="246">
        <v>1607.19</v>
      </c>
      <c r="H35" s="246">
        <v>1607.19</v>
      </c>
      <c r="I35" s="247">
        <v>8.0000000000000002E-3</v>
      </c>
      <c r="J35" s="246">
        <v>135743.34</v>
      </c>
      <c r="K35" s="247">
        <v>0.67589999999999995</v>
      </c>
    </row>
    <row r="36" spans="1:11">
      <c r="A36" s="243" t="s">
        <v>1589</v>
      </c>
      <c r="B36" s="243" t="s">
        <v>427</v>
      </c>
      <c r="C36" s="244" t="s">
        <v>1590</v>
      </c>
      <c r="D36" s="243" t="s">
        <v>520</v>
      </c>
      <c r="E36" s="245">
        <v>78.400000000000006</v>
      </c>
      <c r="F36" s="243">
        <v>17.920000000000002</v>
      </c>
      <c r="G36" s="246">
        <v>1404.93</v>
      </c>
      <c r="H36" s="246">
        <v>1404.93</v>
      </c>
      <c r="I36" s="247">
        <v>7.0000000000000001E-3</v>
      </c>
      <c r="J36" s="246">
        <v>137148.26999999999</v>
      </c>
      <c r="K36" s="247">
        <v>0.68289999999999995</v>
      </c>
    </row>
    <row r="37" spans="1:11" ht="30">
      <c r="A37" s="243">
        <v>1287</v>
      </c>
      <c r="B37" s="243" t="s">
        <v>431</v>
      </c>
      <c r="C37" s="244" t="s">
        <v>844</v>
      </c>
      <c r="D37" s="243" t="s">
        <v>451</v>
      </c>
      <c r="E37" s="245">
        <v>43.99</v>
      </c>
      <c r="F37" s="243">
        <v>31.75</v>
      </c>
      <c r="G37" s="246">
        <v>1396.68</v>
      </c>
      <c r="H37" s="246">
        <v>1396.68</v>
      </c>
      <c r="I37" s="247">
        <v>7.0000000000000001E-3</v>
      </c>
      <c r="J37" s="246">
        <v>138544.95000000001</v>
      </c>
      <c r="K37" s="247">
        <v>0.68989999999999996</v>
      </c>
    </row>
    <row r="38" spans="1:11">
      <c r="A38" s="243" t="s">
        <v>1591</v>
      </c>
      <c r="B38" s="243" t="s">
        <v>622</v>
      </c>
      <c r="C38" s="244" t="s">
        <v>1022</v>
      </c>
      <c r="D38" s="243" t="s">
        <v>184</v>
      </c>
      <c r="E38" s="245">
        <v>1</v>
      </c>
      <c r="F38" s="246">
        <v>1350.36</v>
      </c>
      <c r="G38" s="246">
        <v>1350.36</v>
      </c>
      <c r="H38" s="246">
        <v>1350.36</v>
      </c>
      <c r="I38" s="247">
        <v>6.7000000000000002E-3</v>
      </c>
      <c r="J38" s="246">
        <v>139895.31</v>
      </c>
      <c r="K38" s="247">
        <v>0.6966</v>
      </c>
    </row>
    <row r="39" spans="1:11">
      <c r="A39" s="243">
        <v>7288</v>
      </c>
      <c r="B39" s="243" t="s">
        <v>431</v>
      </c>
      <c r="C39" s="244" t="s">
        <v>830</v>
      </c>
      <c r="D39" s="243" t="s">
        <v>816</v>
      </c>
      <c r="E39" s="245">
        <v>36.275849999999998</v>
      </c>
      <c r="F39" s="243">
        <v>33.229999999999997</v>
      </c>
      <c r="G39" s="246">
        <v>1205.45</v>
      </c>
      <c r="H39" s="246">
        <v>1205.45</v>
      </c>
      <c r="I39" s="247">
        <v>6.0000000000000001E-3</v>
      </c>
      <c r="J39" s="246">
        <v>141100.76</v>
      </c>
      <c r="K39" s="247">
        <v>0.7026</v>
      </c>
    </row>
    <row r="40" spans="1:11" ht="30">
      <c r="A40" s="243" t="s">
        <v>1592</v>
      </c>
      <c r="B40" s="243" t="s">
        <v>427</v>
      </c>
      <c r="C40" s="244" t="s">
        <v>565</v>
      </c>
      <c r="D40" s="243" t="s">
        <v>451</v>
      </c>
      <c r="E40" s="245">
        <v>24.098559999999999</v>
      </c>
      <c r="F40" s="243">
        <v>48.08</v>
      </c>
      <c r="G40" s="246">
        <v>1158.6600000000001</v>
      </c>
      <c r="H40" s="246">
        <v>1158.6600000000001</v>
      </c>
      <c r="I40" s="247">
        <v>5.7999999999999996E-3</v>
      </c>
      <c r="J40" s="246">
        <v>142259.41</v>
      </c>
      <c r="K40" s="247">
        <v>0.70840000000000003</v>
      </c>
    </row>
    <row r="41" spans="1:11" ht="30">
      <c r="A41" s="243">
        <v>1014</v>
      </c>
      <c r="B41" s="243" t="s">
        <v>431</v>
      </c>
      <c r="C41" s="244" t="s">
        <v>1322</v>
      </c>
      <c r="D41" s="243" t="s">
        <v>31</v>
      </c>
      <c r="E41" s="245">
        <v>553.35</v>
      </c>
      <c r="F41" s="243">
        <v>2.08</v>
      </c>
      <c r="G41" s="246">
        <v>1150.97</v>
      </c>
      <c r="H41" s="246">
        <v>1150.97</v>
      </c>
      <c r="I41" s="247">
        <v>5.7000000000000002E-3</v>
      </c>
      <c r="J41" s="246">
        <v>143410.38</v>
      </c>
      <c r="K41" s="247">
        <v>0.71409999999999996</v>
      </c>
    </row>
    <row r="42" spans="1:11" ht="30">
      <c r="A42" s="243">
        <v>38877</v>
      </c>
      <c r="B42" s="243" t="s">
        <v>431</v>
      </c>
      <c r="C42" s="244" t="s">
        <v>835</v>
      </c>
      <c r="D42" s="243" t="s">
        <v>60</v>
      </c>
      <c r="E42" s="245">
        <v>234.28482</v>
      </c>
      <c r="F42" s="243">
        <v>4.8499999999999996</v>
      </c>
      <c r="G42" s="246">
        <v>1136.28</v>
      </c>
      <c r="H42" s="246">
        <v>1136.28</v>
      </c>
      <c r="I42" s="247">
        <v>5.7000000000000002E-3</v>
      </c>
      <c r="J42" s="246">
        <v>144546.66</v>
      </c>
      <c r="K42" s="247">
        <v>0.7198</v>
      </c>
    </row>
    <row r="43" spans="1:11">
      <c r="A43" s="243" t="s">
        <v>1593</v>
      </c>
      <c r="B43" s="243" t="s">
        <v>427</v>
      </c>
      <c r="C43" s="244" t="s">
        <v>1594</v>
      </c>
      <c r="D43" s="243" t="s">
        <v>1576</v>
      </c>
      <c r="E43" s="246">
        <v>1349.0697903</v>
      </c>
      <c r="F43" s="243">
        <v>0.81</v>
      </c>
      <c r="G43" s="246">
        <v>1092.75</v>
      </c>
      <c r="H43" s="246">
        <v>1092.75</v>
      </c>
      <c r="I43" s="247">
        <v>5.4000000000000003E-3</v>
      </c>
      <c r="J43" s="246">
        <v>145639.41</v>
      </c>
      <c r="K43" s="247">
        <v>0.72519999999999996</v>
      </c>
    </row>
    <row r="44" spans="1:11">
      <c r="A44" s="243" t="s">
        <v>1595</v>
      </c>
      <c r="B44" s="243" t="s">
        <v>427</v>
      </c>
      <c r="C44" s="244" t="s">
        <v>1596</v>
      </c>
      <c r="D44" s="243" t="s">
        <v>1576</v>
      </c>
      <c r="E44" s="246">
        <v>1349.0697903</v>
      </c>
      <c r="F44" s="243">
        <v>0.77</v>
      </c>
      <c r="G44" s="246">
        <v>1038.78</v>
      </c>
      <c r="H44" s="246">
        <v>1038.78</v>
      </c>
      <c r="I44" s="247">
        <v>5.1999999999999998E-3</v>
      </c>
      <c r="J44" s="246">
        <v>146678.19</v>
      </c>
      <c r="K44" s="247">
        <v>0.73040000000000005</v>
      </c>
    </row>
    <row r="45" spans="1:11" ht="45">
      <c r="A45" s="243" t="s">
        <v>1597</v>
      </c>
      <c r="B45" s="243" t="s">
        <v>427</v>
      </c>
      <c r="C45" s="244" t="s">
        <v>1598</v>
      </c>
      <c r="D45" s="243" t="s">
        <v>451</v>
      </c>
      <c r="E45" s="243">
        <v>18.63672</v>
      </c>
      <c r="F45" s="243">
        <v>55.21</v>
      </c>
      <c r="G45" s="246">
        <v>1028.93</v>
      </c>
      <c r="H45" s="246">
        <v>1028.93</v>
      </c>
      <c r="I45" s="247">
        <v>5.1000000000000004E-3</v>
      </c>
      <c r="J45" s="246">
        <v>147707.13</v>
      </c>
      <c r="K45" s="247">
        <v>0.73550000000000004</v>
      </c>
    </row>
    <row r="46" spans="1:11">
      <c r="A46" s="243">
        <v>1106</v>
      </c>
      <c r="B46" s="243" t="s">
        <v>431</v>
      </c>
      <c r="C46" s="244" t="s">
        <v>1599</v>
      </c>
      <c r="D46" s="243" t="s">
        <v>60</v>
      </c>
      <c r="E46" s="245">
        <v>1370.4859687000001</v>
      </c>
      <c r="F46" s="243">
        <v>0.75</v>
      </c>
      <c r="G46" s="246">
        <v>1027.8599999999999</v>
      </c>
      <c r="H46" s="246">
        <v>1027.8599999999999</v>
      </c>
      <c r="I46" s="247">
        <v>5.1000000000000004E-3</v>
      </c>
      <c r="J46" s="246">
        <v>148734.99</v>
      </c>
      <c r="K46" s="247">
        <v>0.74060000000000004</v>
      </c>
    </row>
    <row r="47" spans="1:11">
      <c r="A47" s="243">
        <v>7356</v>
      </c>
      <c r="B47" s="243" t="s">
        <v>431</v>
      </c>
      <c r="C47" s="244" t="s">
        <v>820</v>
      </c>
      <c r="D47" s="243" t="s">
        <v>816</v>
      </c>
      <c r="E47" s="245">
        <v>50.341500000000003</v>
      </c>
      <c r="F47" s="243">
        <v>20.34</v>
      </c>
      <c r="G47" s="246">
        <v>1023.95</v>
      </c>
      <c r="H47" s="246">
        <v>1023.95</v>
      </c>
      <c r="I47" s="247">
        <v>5.1000000000000004E-3</v>
      </c>
      <c r="J47" s="246">
        <v>149758.94</v>
      </c>
      <c r="K47" s="247">
        <v>0.74570000000000003</v>
      </c>
    </row>
    <row r="48" spans="1:11">
      <c r="A48" s="243">
        <v>9837</v>
      </c>
      <c r="B48" s="243" t="s">
        <v>431</v>
      </c>
      <c r="C48" s="244" t="s">
        <v>1200</v>
      </c>
      <c r="D48" s="243" t="s">
        <v>31</v>
      </c>
      <c r="E48" s="245">
        <v>63.182666400000002</v>
      </c>
      <c r="F48" s="243">
        <v>16.149999999999999</v>
      </c>
      <c r="G48" s="246">
        <v>1020.4</v>
      </c>
      <c r="H48" s="246">
        <v>1020.4</v>
      </c>
      <c r="I48" s="247">
        <v>5.1000000000000004E-3</v>
      </c>
      <c r="J48" s="246">
        <v>150779.34</v>
      </c>
      <c r="K48" s="247">
        <v>0.75080000000000002</v>
      </c>
    </row>
    <row r="49" spans="1:11">
      <c r="A49" s="243">
        <v>33</v>
      </c>
      <c r="B49" s="243" t="s">
        <v>431</v>
      </c>
      <c r="C49" s="244" t="s">
        <v>1600</v>
      </c>
      <c r="D49" s="243" t="s">
        <v>60</v>
      </c>
      <c r="E49" s="245">
        <v>101.41404</v>
      </c>
      <c r="F49" s="243">
        <v>9.86</v>
      </c>
      <c r="G49" s="243">
        <v>999.94</v>
      </c>
      <c r="H49" s="243">
        <v>999.94</v>
      </c>
      <c r="I49" s="247">
        <v>5.0000000000000001E-3</v>
      </c>
      <c r="J49" s="246">
        <v>151779.28</v>
      </c>
      <c r="K49" s="247">
        <v>0.75580000000000003</v>
      </c>
    </row>
    <row r="50" spans="1:11">
      <c r="A50" s="243">
        <v>37372</v>
      </c>
      <c r="B50" s="243" t="s">
        <v>431</v>
      </c>
      <c r="C50" s="244" t="s">
        <v>1601</v>
      </c>
      <c r="D50" s="243" t="s">
        <v>520</v>
      </c>
      <c r="E50" s="246">
        <v>1217.2826554000001</v>
      </c>
      <c r="F50" s="243">
        <v>0.81</v>
      </c>
      <c r="G50" s="243">
        <v>986</v>
      </c>
      <c r="H50" s="243">
        <v>986</v>
      </c>
      <c r="I50" s="247">
        <v>4.8999999999999998E-3</v>
      </c>
      <c r="J50" s="246">
        <v>152765.28</v>
      </c>
      <c r="K50" s="247">
        <v>0.76070000000000004</v>
      </c>
    </row>
    <row r="51" spans="1:11">
      <c r="A51" s="243">
        <v>37371</v>
      </c>
      <c r="B51" s="243" t="s">
        <v>431</v>
      </c>
      <c r="C51" s="244" t="s">
        <v>1602</v>
      </c>
      <c r="D51" s="243" t="s">
        <v>520</v>
      </c>
      <c r="E51" s="246">
        <v>1217.2826554000001</v>
      </c>
      <c r="F51" s="243">
        <v>0.77</v>
      </c>
      <c r="G51" s="243">
        <v>937.31</v>
      </c>
      <c r="H51" s="243">
        <v>937.31</v>
      </c>
      <c r="I51" s="247">
        <v>4.7000000000000002E-3</v>
      </c>
      <c r="J51" s="246">
        <v>153702.59</v>
      </c>
      <c r="K51" s="247">
        <v>0.76539999999999997</v>
      </c>
    </row>
    <row r="52" spans="1:11" ht="45">
      <c r="A52" s="243">
        <v>42407</v>
      </c>
      <c r="B52" s="243" t="s">
        <v>431</v>
      </c>
      <c r="C52" s="244" t="s">
        <v>616</v>
      </c>
      <c r="D52" s="243" t="s">
        <v>31</v>
      </c>
      <c r="E52" s="245">
        <v>103.680818</v>
      </c>
      <c r="F52" s="243">
        <v>8.4</v>
      </c>
      <c r="G52" s="243">
        <v>870.92</v>
      </c>
      <c r="H52" s="243">
        <v>870.92</v>
      </c>
      <c r="I52" s="247">
        <v>4.3E-3</v>
      </c>
      <c r="J52" s="246">
        <v>154573.51</v>
      </c>
      <c r="K52" s="247">
        <v>0.76970000000000005</v>
      </c>
    </row>
    <row r="53" spans="1:11" ht="30">
      <c r="A53" s="243">
        <v>37411</v>
      </c>
      <c r="B53" s="243" t="s">
        <v>431</v>
      </c>
      <c r="C53" s="244" t="s">
        <v>790</v>
      </c>
      <c r="D53" s="243" t="s">
        <v>451</v>
      </c>
      <c r="E53" s="245">
        <v>36.255491999999997</v>
      </c>
      <c r="F53" s="243">
        <v>23.86</v>
      </c>
      <c r="G53" s="243">
        <v>865.06</v>
      </c>
      <c r="H53" s="243">
        <v>865.06</v>
      </c>
      <c r="I53" s="247">
        <v>4.3E-3</v>
      </c>
      <c r="J53" s="246">
        <v>155438.56</v>
      </c>
      <c r="K53" s="247">
        <v>0.77400000000000002</v>
      </c>
    </row>
    <row r="54" spans="1:11">
      <c r="A54" s="243" t="s">
        <v>1603</v>
      </c>
      <c r="B54" s="243" t="s">
        <v>427</v>
      </c>
      <c r="C54" s="244" t="s">
        <v>1604</v>
      </c>
      <c r="D54" s="243" t="s">
        <v>476</v>
      </c>
      <c r="E54" s="245">
        <v>107.61861</v>
      </c>
      <c r="F54" s="243">
        <v>8.0299999999999994</v>
      </c>
      <c r="G54" s="243">
        <v>864.18</v>
      </c>
      <c r="H54" s="243">
        <v>864.18</v>
      </c>
      <c r="I54" s="247">
        <v>4.3E-3</v>
      </c>
      <c r="J54" s="246">
        <v>156302.74</v>
      </c>
      <c r="K54" s="247">
        <v>0.77829999999999999</v>
      </c>
    </row>
    <row r="55" spans="1:11" ht="30">
      <c r="A55" s="243">
        <v>370</v>
      </c>
      <c r="B55" s="243" t="s">
        <v>431</v>
      </c>
      <c r="C55" s="244" t="s">
        <v>1605</v>
      </c>
      <c r="D55" s="243" t="s">
        <v>468</v>
      </c>
      <c r="E55" s="245">
        <v>10.611928499999999</v>
      </c>
      <c r="F55" s="243">
        <v>81.25</v>
      </c>
      <c r="G55" s="243">
        <v>862.22</v>
      </c>
      <c r="H55" s="243">
        <v>862.22</v>
      </c>
      <c r="I55" s="247">
        <v>4.3E-3</v>
      </c>
      <c r="J55" s="246">
        <v>157164.96</v>
      </c>
      <c r="K55" s="247">
        <v>0.78259999999999996</v>
      </c>
    </row>
    <row r="56" spans="1:11" ht="45">
      <c r="A56" s="243">
        <v>626</v>
      </c>
      <c r="B56" s="243" t="s">
        <v>431</v>
      </c>
      <c r="C56" s="244" t="s">
        <v>583</v>
      </c>
      <c r="D56" s="243" t="s">
        <v>60</v>
      </c>
      <c r="E56" s="245">
        <v>51.75</v>
      </c>
      <c r="F56" s="243">
        <v>16.61</v>
      </c>
      <c r="G56" s="243">
        <v>859.57</v>
      </c>
      <c r="H56" s="243">
        <v>859.57</v>
      </c>
      <c r="I56" s="247">
        <v>4.3E-3</v>
      </c>
      <c r="J56" s="246">
        <v>158024.53</v>
      </c>
      <c r="K56" s="247">
        <v>0.78690000000000004</v>
      </c>
    </row>
    <row r="57" spans="1:11">
      <c r="A57" s="243" t="s">
        <v>1606</v>
      </c>
      <c r="B57" s="243" t="s">
        <v>427</v>
      </c>
      <c r="C57" s="244" t="s">
        <v>911</v>
      </c>
      <c r="D57" s="243" t="s">
        <v>451</v>
      </c>
      <c r="E57" s="245">
        <v>5.41</v>
      </c>
      <c r="F57" s="243">
        <v>156.35</v>
      </c>
      <c r="G57" s="243">
        <v>845.85</v>
      </c>
      <c r="H57" s="243">
        <v>845.85</v>
      </c>
      <c r="I57" s="247">
        <v>4.1999999999999997E-3</v>
      </c>
      <c r="J57" s="246">
        <v>158870.38</v>
      </c>
      <c r="K57" s="247">
        <v>0.79110000000000003</v>
      </c>
    </row>
    <row r="58" spans="1:11" ht="30">
      <c r="A58" s="243" t="s">
        <v>1607</v>
      </c>
      <c r="B58" s="243" t="s">
        <v>427</v>
      </c>
      <c r="C58" s="244" t="s">
        <v>573</v>
      </c>
      <c r="D58" s="243" t="s">
        <v>451</v>
      </c>
      <c r="E58" s="245">
        <v>15.10656</v>
      </c>
      <c r="F58" s="243">
        <v>54.97</v>
      </c>
      <c r="G58" s="243">
        <v>830.41</v>
      </c>
      <c r="H58" s="243">
        <v>830.41</v>
      </c>
      <c r="I58" s="247">
        <v>4.1000000000000003E-3</v>
      </c>
      <c r="J58" s="246">
        <v>159700.79</v>
      </c>
      <c r="K58" s="247">
        <v>0.79520000000000002</v>
      </c>
    </row>
    <row r="59" spans="1:11" ht="30">
      <c r="A59" s="243">
        <v>43499</v>
      </c>
      <c r="B59" s="243" t="s">
        <v>431</v>
      </c>
      <c r="C59" s="244" t="s">
        <v>441</v>
      </c>
      <c r="D59" s="243" t="s">
        <v>433</v>
      </c>
      <c r="E59" s="245">
        <v>4</v>
      </c>
      <c r="F59" s="243">
        <v>202.94</v>
      </c>
      <c r="G59" s="243">
        <v>811.76</v>
      </c>
      <c r="H59" s="243">
        <v>811.76</v>
      </c>
      <c r="I59" s="247">
        <v>4.0000000000000001E-3</v>
      </c>
      <c r="J59" s="246">
        <v>160512.54999999999</v>
      </c>
      <c r="K59" s="247">
        <v>0.79930000000000001</v>
      </c>
    </row>
    <row r="60" spans="1:11">
      <c r="A60" s="248">
        <v>13388</v>
      </c>
      <c r="B60" s="248" t="s">
        <v>431</v>
      </c>
      <c r="C60" s="249" t="s">
        <v>735</v>
      </c>
      <c r="D60" s="248" t="s">
        <v>60</v>
      </c>
      <c r="E60" s="250">
        <v>2.5506000000000002</v>
      </c>
      <c r="F60" s="248">
        <v>311.45</v>
      </c>
      <c r="G60" s="248">
        <v>794.38</v>
      </c>
      <c r="H60" s="248">
        <v>794.38</v>
      </c>
      <c r="I60" s="251">
        <v>4.0000000000000001E-3</v>
      </c>
      <c r="J60" s="252">
        <v>161306.93</v>
      </c>
      <c r="K60" s="251">
        <v>0.80320000000000003</v>
      </c>
    </row>
    <row r="61" spans="1:11">
      <c r="A61" s="248">
        <v>2436</v>
      </c>
      <c r="B61" s="248" t="s">
        <v>431</v>
      </c>
      <c r="C61" s="249" t="s">
        <v>1608</v>
      </c>
      <c r="D61" s="248" t="s">
        <v>520</v>
      </c>
      <c r="E61" s="250">
        <v>42.2591131</v>
      </c>
      <c r="F61" s="248">
        <v>17.920000000000002</v>
      </c>
      <c r="G61" s="248">
        <v>757.28</v>
      </c>
      <c r="H61" s="248">
        <v>757.28</v>
      </c>
      <c r="I61" s="251">
        <v>3.8E-3</v>
      </c>
      <c r="J61" s="252">
        <v>162064.22</v>
      </c>
      <c r="K61" s="251">
        <v>0.80700000000000005</v>
      </c>
    </row>
    <row r="62" spans="1:11">
      <c r="A62" s="248">
        <v>3324</v>
      </c>
      <c r="B62" s="248" t="s">
        <v>431</v>
      </c>
      <c r="C62" s="249" t="s">
        <v>962</v>
      </c>
      <c r="D62" s="248" t="s">
        <v>451</v>
      </c>
      <c r="E62" s="250">
        <v>83.77</v>
      </c>
      <c r="F62" s="248">
        <v>9.0299999999999994</v>
      </c>
      <c r="G62" s="248">
        <v>756.44</v>
      </c>
      <c r="H62" s="248">
        <v>756.44</v>
      </c>
      <c r="I62" s="251">
        <v>3.8E-3</v>
      </c>
      <c r="J62" s="252">
        <v>162820.66</v>
      </c>
      <c r="K62" s="251">
        <v>0.81079999999999997</v>
      </c>
    </row>
    <row r="63" spans="1:11">
      <c r="A63" s="248" t="s">
        <v>1609</v>
      </c>
      <c r="B63" s="248" t="s">
        <v>427</v>
      </c>
      <c r="C63" s="249" t="s">
        <v>1610</v>
      </c>
      <c r="D63" s="248" t="s">
        <v>476</v>
      </c>
      <c r="E63" s="250">
        <v>88.902330000000006</v>
      </c>
      <c r="F63" s="248">
        <v>8.41</v>
      </c>
      <c r="G63" s="248">
        <v>747.67</v>
      </c>
      <c r="H63" s="248">
        <v>747.67</v>
      </c>
      <c r="I63" s="251">
        <v>3.7000000000000002E-3</v>
      </c>
      <c r="J63" s="252">
        <v>163568.32999999999</v>
      </c>
      <c r="K63" s="251">
        <v>0.8145</v>
      </c>
    </row>
    <row r="64" spans="1:11" ht="45">
      <c r="A64" s="248" t="s">
        <v>1611</v>
      </c>
      <c r="B64" s="248" t="s">
        <v>427</v>
      </c>
      <c r="C64" s="249" t="s">
        <v>1612</v>
      </c>
      <c r="D64" s="248" t="s">
        <v>451</v>
      </c>
      <c r="E64" s="250">
        <v>11.68272</v>
      </c>
      <c r="F64" s="248">
        <v>62.96</v>
      </c>
      <c r="G64" s="248">
        <v>735.54</v>
      </c>
      <c r="H64" s="248">
        <v>735.54</v>
      </c>
      <c r="I64" s="251">
        <v>3.7000000000000002E-3</v>
      </c>
      <c r="J64" s="252">
        <v>164303.87</v>
      </c>
      <c r="K64" s="251">
        <v>0.81810000000000005</v>
      </c>
    </row>
    <row r="65" spans="1:11">
      <c r="A65" s="248" t="s">
        <v>1613</v>
      </c>
      <c r="B65" s="248" t="s">
        <v>427</v>
      </c>
      <c r="C65" s="249" t="s">
        <v>1281</v>
      </c>
      <c r="D65" s="248" t="s">
        <v>472</v>
      </c>
      <c r="E65" s="250">
        <v>105.6</v>
      </c>
      <c r="F65" s="248">
        <v>6.96</v>
      </c>
      <c r="G65" s="248">
        <v>734.98</v>
      </c>
      <c r="H65" s="248">
        <v>734.98</v>
      </c>
      <c r="I65" s="251">
        <v>3.7000000000000002E-3</v>
      </c>
      <c r="J65" s="252">
        <v>165038.85</v>
      </c>
      <c r="K65" s="251">
        <v>0.82179999999999997</v>
      </c>
    </row>
    <row r="66" spans="1:11">
      <c r="A66" s="248" t="s">
        <v>1614</v>
      </c>
      <c r="B66" s="248" t="s">
        <v>427</v>
      </c>
      <c r="C66" s="249" t="s">
        <v>1615</v>
      </c>
      <c r="D66" s="248" t="s">
        <v>520</v>
      </c>
      <c r="E66" s="250">
        <v>45.756542799999998</v>
      </c>
      <c r="F66" s="248">
        <v>15.45</v>
      </c>
      <c r="G66" s="248">
        <v>706.94</v>
      </c>
      <c r="H66" s="248">
        <v>706.94</v>
      </c>
      <c r="I66" s="251">
        <v>3.5000000000000001E-3</v>
      </c>
      <c r="J66" s="252">
        <v>165745.79</v>
      </c>
      <c r="K66" s="251">
        <v>0.82530000000000003</v>
      </c>
    </row>
    <row r="67" spans="1:11">
      <c r="A67" s="248">
        <v>7307</v>
      </c>
      <c r="B67" s="248" t="s">
        <v>431</v>
      </c>
      <c r="C67" s="249" t="s">
        <v>826</v>
      </c>
      <c r="D67" s="248" t="s">
        <v>816</v>
      </c>
      <c r="E67" s="250">
        <v>19.793471</v>
      </c>
      <c r="F67" s="248">
        <v>35.36</v>
      </c>
      <c r="G67" s="248">
        <v>699.9</v>
      </c>
      <c r="H67" s="248">
        <v>699.9</v>
      </c>
      <c r="I67" s="251">
        <v>3.5000000000000001E-3</v>
      </c>
      <c r="J67" s="252">
        <v>166445.68</v>
      </c>
      <c r="K67" s="251">
        <v>0.82879999999999998</v>
      </c>
    </row>
    <row r="68" spans="1:11">
      <c r="A68" s="248" t="s">
        <v>1616</v>
      </c>
      <c r="B68" s="248" t="s">
        <v>427</v>
      </c>
      <c r="C68" s="249" t="s">
        <v>1617</v>
      </c>
      <c r="D68" s="248" t="s">
        <v>520</v>
      </c>
      <c r="E68" s="250">
        <v>38.992221700000002</v>
      </c>
      <c r="F68" s="248">
        <v>17.920000000000002</v>
      </c>
      <c r="G68" s="248">
        <v>698.74</v>
      </c>
      <c r="H68" s="248">
        <v>698.74</v>
      </c>
      <c r="I68" s="251">
        <v>3.5000000000000001E-3</v>
      </c>
      <c r="J68" s="252">
        <v>167144.42000000001</v>
      </c>
      <c r="K68" s="251">
        <v>0.83230000000000004</v>
      </c>
    </row>
    <row r="69" spans="1:11" ht="30">
      <c r="A69" s="248" t="s">
        <v>1618</v>
      </c>
      <c r="B69" s="248" t="s">
        <v>427</v>
      </c>
      <c r="C69" s="249" t="s">
        <v>1619</v>
      </c>
      <c r="D69" s="248" t="s">
        <v>468</v>
      </c>
      <c r="E69" s="250">
        <v>6.865742</v>
      </c>
      <c r="F69" s="248">
        <v>101.65</v>
      </c>
      <c r="G69" s="248">
        <v>697.9</v>
      </c>
      <c r="H69" s="248">
        <v>697.9</v>
      </c>
      <c r="I69" s="251">
        <v>3.5000000000000001E-3</v>
      </c>
      <c r="J69" s="252">
        <v>167842.33</v>
      </c>
      <c r="K69" s="251">
        <v>0.83579999999999999</v>
      </c>
    </row>
    <row r="70" spans="1:11">
      <c r="A70" s="248" t="s">
        <v>1620</v>
      </c>
      <c r="B70" s="248" t="s">
        <v>427</v>
      </c>
      <c r="C70" s="249" t="s">
        <v>1621</v>
      </c>
      <c r="D70" s="248" t="s">
        <v>1576</v>
      </c>
      <c r="E70" s="250">
        <v>586.0534576</v>
      </c>
      <c r="F70" s="248">
        <v>1.1499999999999999</v>
      </c>
      <c r="G70" s="248">
        <v>673.96</v>
      </c>
      <c r="H70" s="248">
        <v>673.96</v>
      </c>
      <c r="I70" s="251">
        <v>3.3999999999999998E-3</v>
      </c>
      <c r="J70" s="252">
        <v>168516.29</v>
      </c>
      <c r="K70" s="251">
        <v>0.83909999999999996</v>
      </c>
    </row>
    <row r="71" spans="1:11" ht="45">
      <c r="A71" s="248">
        <v>12038</v>
      </c>
      <c r="B71" s="248" t="s">
        <v>431</v>
      </c>
      <c r="C71" s="249" t="s">
        <v>1263</v>
      </c>
      <c r="D71" s="248" t="s">
        <v>8</v>
      </c>
      <c r="E71" s="250">
        <v>1</v>
      </c>
      <c r="F71" s="248">
        <v>631.16999999999996</v>
      </c>
      <c r="G71" s="248">
        <v>631.16999999999996</v>
      </c>
      <c r="H71" s="248">
        <v>631.16999999999996</v>
      </c>
      <c r="I71" s="251">
        <v>3.0999999999999999E-3</v>
      </c>
      <c r="J71" s="252">
        <v>169147.46</v>
      </c>
      <c r="K71" s="251">
        <v>0.84230000000000005</v>
      </c>
    </row>
    <row r="72" spans="1:11">
      <c r="A72" s="248">
        <v>40863</v>
      </c>
      <c r="B72" s="248" t="s">
        <v>431</v>
      </c>
      <c r="C72" s="249" t="s">
        <v>443</v>
      </c>
      <c r="D72" s="248" t="s">
        <v>433</v>
      </c>
      <c r="E72" s="250">
        <v>4</v>
      </c>
      <c r="F72" s="248">
        <v>152.35</v>
      </c>
      <c r="G72" s="248">
        <v>609.4</v>
      </c>
      <c r="H72" s="248">
        <v>609.4</v>
      </c>
      <c r="I72" s="251">
        <v>3.0000000000000001E-3</v>
      </c>
      <c r="J72" s="252">
        <v>169756.86</v>
      </c>
      <c r="K72" s="251">
        <v>0.84530000000000005</v>
      </c>
    </row>
    <row r="73" spans="1:11">
      <c r="A73" s="248" t="s">
        <v>1622</v>
      </c>
      <c r="B73" s="248" t="s">
        <v>427</v>
      </c>
      <c r="C73" s="249" t="s">
        <v>1623</v>
      </c>
      <c r="D73" s="248" t="s">
        <v>476</v>
      </c>
      <c r="E73" s="250">
        <v>65.506979999999999</v>
      </c>
      <c r="F73" s="248">
        <v>9.2100000000000009</v>
      </c>
      <c r="G73" s="248">
        <v>603.32000000000005</v>
      </c>
      <c r="H73" s="248">
        <v>603.32000000000005</v>
      </c>
      <c r="I73" s="251">
        <v>3.0000000000000001E-3</v>
      </c>
      <c r="J73" s="252">
        <v>170360.18</v>
      </c>
      <c r="K73" s="251">
        <v>0.84830000000000005</v>
      </c>
    </row>
    <row r="74" spans="1:11">
      <c r="A74" s="248" t="s">
        <v>1624</v>
      </c>
      <c r="B74" s="248" t="s">
        <v>427</v>
      </c>
      <c r="C74" s="249" t="s">
        <v>1625</v>
      </c>
      <c r="D74" s="248" t="s">
        <v>476</v>
      </c>
      <c r="E74" s="250">
        <v>70.186049999999994</v>
      </c>
      <c r="F74" s="248">
        <v>8.41</v>
      </c>
      <c r="G74" s="248">
        <v>590.26</v>
      </c>
      <c r="H74" s="248">
        <v>590.26</v>
      </c>
      <c r="I74" s="251">
        <v>2.8999999999999998E-3</v>
      </c>
      <c r="J74" s="252">
        <v>170950.44</v>
      </c>
      <c r="K74" s="251">
        <v>0.85119999999999996</v>
      </c>
    </row>
    <row r="75" spans="1:11" ht="30">
      <c r="A75" s="248">
        <v>11235</v>
      </c>
      <c r="B75" s="248" t="s">
        <v>431</v>
      </c>
      <c r="C75" s="249" t="s">
        <v>1116</v>
      </c>
      <c r="D75" s="248" t="s">
        <v>8</v>
      </c>
      <c r="E75" s="250">
        <v>4</v>
      </c>
      <c r="F75" s="248">
        <v>147.34</v>
      </c>
      <c r="G75" s="248">
        <v>589.36</v>
      </c>
      <c r="H75" s="248">
        <v>589.36</v>
      </c>
      <c r="I75" s="251">
        <v>2.8999999999999998E-3</v>
      </c>
      <c r="J75" s="252">
        <v>171539.8</v>
      </c>
      <c r="K75" s="251">
        <v>0.85419999999999996</v>
      </c>
    </row>
    <row r="76" spans="1:11">
      <c r="A76" s="248">
        <v>9868</v>
      </c>
      <c r="B76" s="248" t="s">
        <v>431</v>
      </c>
      <c r="C76" s="249" t="s">
        <v>1243</v>
      </c>
      <c r="D76" s="248" t="s">
        <v>31</v>
      </c>
      <c r="E76" s="250">
        <v>101.85599999999999</v>
      </c>
      <c r="F76" s="248">
        <v>5.48</v>
      </c>
      <c r="G76" s="248">
        <v>558.16999999999996</v>
      </c>
      <c r="H76" s="248">
        <v>558.16999999999996</v>
      </c>
      <c r="I76" s="251">
        <v>2.8E-3</v>
      </c>
      <c r="J76" s="252">
        <v>172097.97</v>
      </c>
      <c r="K76" s="251">
        <v>0.85699999999999998</v>
      </c>
    </row>
    <row r="77" spans="1:11">
      <c r="A77" s="248" t="s">
        <v>1626</v>
      </c>
      <c r="B77" s="248" t="s">
        <v>427</v>
      </c>
      <c r="C77" s="249" t="s">
        <v>1627</v>
      </c>
      <c r="D77" s="248" t="s">
        <v>520</v>
      </c>
      <c r="E77" s="250">
        <v>38.829522300000001</v>
      </c>
      <c r="F77" s="248">
        <v>14.11</v>
      </c>
      <c r="G77" s="248">
        <v>547.88</v>
      </c>
      <c r="H77" s="248">
        <v>547.88</v>
      </c>
      <c r="I77" s="251">
        <v>2.7000000000000001E-3</v>
      </c>
      <c r="J77" s="252">
        <v>172645.86</v>
      </c>
      <c r="K77" s="251">
        <v>0.85970000000000002</v>
      </c>
    </row>
    <row r="78" spans="1:11">
      <c r="A78" s="248" t="s">
        <v>1628</v>
      </c>
      <c r="B78" s="248" t="s">
        <v>427</v>
      </c>
      <c r="C78" s="249" t="s">
        <v>1608</v>
      </c>
      <c r="D78" s="248" t="s">
        <v>520</v>
      </c>
      <c r="E78" s="250">
        <v>29.466666</v>
      </c>
      <c r="F78" s="248">
        <v>17.920000000000002</v>
      </c>
      <c r="G78" s="248">
        <v>528.04</v>
      </c>
      <c r="H78" s="248">
        <v>528.04</v>
      </c>
      <c r="I78" s="251">
        <v>2.5999999999999999E-3</v>
      </c>
      <c r="J78" s="252">
        <v>173173.9</v>
      </c>
      <c r="K78" s="251">
        <v>0.86229999999999996</v>
      </c>
    </row>
    <row r="79" spans="1:11">
      <c r="A79" s="248">
        <v>247</v>
      </c>
      <c r="B79" s="248" t="s">
        <v>431</v>
      </c>
      <c r="C79" s="249" t="s">
        <v>1629</v>
      </c>
      <c r="D79" s="248" t="s">
        <v>520</v>
      </c>
      <c r="E79" s="250">
        <v>40.932627600000004</v>
      </c>
      <c r="F79" s="248">
        <v>12.58</v>
      </c>
      <c r="G79" s="248">
        <v>514.92999999999995</v>
      </c>
      <c r="H79" s="248">
        <v>514.92999999999995</v>
      </c>
      <c r="I79" s="251">
        <v>2.5999999999999999E-3</v>
      </c>
      <c r="J79" s="252">
        <v>173688.83</v>
      </c>
      <c r="K79" s="251">
        <v>0.8649</v>
      </c>
    </row>
    <row r="80" spans="1:11">
      <c r="A80" s="248" t="s">
        <v>1630</v>
      </c>
      <c r="B80" s="248" t="s">
        <v>427</v>
      </c>
      <c r="C80" s="249" t="s">
        <v>1631</v>
      </c>
      <c r="D80" s="248" t="s">
        <v>476</v>
      </c>
      <c r="E80" s="250">
        <v>65.506979999999999</v>
      </c>
      <c r="F80" s="248">
        <v>7.64</v>
      </c>
      <c r="G80" s="248">
        <v>500.47</v>
      </c>
      <c r="H80" s="248">
        <v>500.47</v>
      </c>
      <c r="I80" s="251">
        <v>2.5000000000000001E-3</v>
      </c>
      <c r="J80" s="252">
        <v>174189.31</v>
      </c>
      <c r="K80" s="251">
        <v>0.86739999999999995</v>
      </c>
    </row>
    <row r="81" spans="1:11" ht="45">
      <c r="A81" s="248">
        <v>38775</v>
      </c>
      <c r="B81" s="248" t="s">
        <v>431</v>
      </c>
      <c r="C81" s="249" t="s">
        <v>1481</v>
      </c>
      <c r="D81" s="248" t="s">
        <v>8</v>
      </c>
      <c r="E81" s="250">
        <v>4</v>
      </c>
      <c r="F81" s="248">
        <v>121.65</v>
      </c>
      <c r="G81" s="248">
        <v>486.6</v>
      </c>
      <c r="H81" s="248">
        <v>486.6</v>
      </c>
      <c r="I81" s="251">
        <v>2.3999999999999998E-3</v>
      </c>
      <c r="J81" s="252">
        <v>174675.91</v>
      </c>
      <c r="K81" s="251">
        <v>0.86980000000000002</v>
      </c>
    </row>
    <row r="82" spans="1:11" ht="30">
      <c r="A82" s="248" t="s">
        <v>1632</v>
      </c>
      <c r="B82" s="248" t="s">
        <v>427</v>
      </c>
      <c r="C82" s="249" t="s">
        <v>1633</v>
      </c>
      <c r="D82" s="248" t="s">
        <v>451</v>
      </c>
      <c r="E82" s="250">
        <v>20.9636776</v>
      </c>
      <c r="F82" s="248">
        <v>23.1</v>
      </c>
      <c r="G82" s="248">
        <v>484.26</v>
      </c>
      <c r="H82" s="248">
        <v>484.26</v>
      </c>
      <c r="I82" s="251">
        <v>2.3999999999999998E-3</v>
      </c>
      <c r="J82" s="252">
        <v>175160.17</v>
      </c>
      <c r="K82" s="251">
        <v>0.87219999999999998</v>
      </c>
    </row>
    <row r="83" spans="1:11" ht="30">
      <c r="A83" s="248" t="s">
        <v>1634</v>
      </c>
      <c r="B83" s="248" t="s">
        <v>427</v>
      </c>
      <c r="C83" s="249" t="s">
        <v>684</v>
      </c>
      <c r="D83" s="248" t="s">
        <v>671</v>
      </c>
      <c r="E83" s="250">
        <v>15.68</v>
      </c>
      <c r="F83" s="248">
        <v>30.17</v>
      </c>
      <c r="G83" s="248">
        <v>473.07</v>
      </c>
      <c r="H83" s="248">
        <v>473.07</v>
      </c>
      <c r="I83" s="251">
        <v>2.3999999999999998E-3</v>
      </c>
      <c r="J83" s="252">
        <v>175633.23</v>
      </c>
      <c r="K83" s="251">
        <v>0.87460000000000004</v>
      </c>
    </row>
    <row r="84" spans="1:11">
      <c r="A84" s="248">
        <v>378</v>
      </c>
      <c r="B84" s="248" t="s">
        <v>431</v>
      </c>
      <c r="C84" s="249" t="s">
        <v>1635</v>
      </c>
      <c r="D84" s="248" t="s">
        <v>520</v>
      </c>
      <c r="E84" s="250">
        <v>26.021241400000001</v>
      </c>
      <c r="F84" s="248">
        <v>17.920000000000002</v>
      </c>
      <c r="G84" s="248">
        <v>466.3</v>
      </c>
      <c r="H84" s="248">
        <v>466.3</v>
      </c>
      <c r="I84" s="251">
        <v>2.3E-3</v>
      </c>
      <c r="J84" s="252">
        <v>176099.53</v>
      </c>
      <c r="K84" s="251">
        <v>0.87690000000000001</v>
      </c>
    </row>
    <row r="85" spans="1:11" ht="30">
      <c r="A85" s="248">
        <v>2580</v>
      </c>
      <c r="B85" s="248" t="s">
        <v>431</v>
      </c>
      <c r="C85" s="249" t="s">
        <v>1332</v>
      </c>
      <c r="D85" s="248" t="s">
        <v>8</v>
      </c>
      <c r="E85" s="250">
        <v>29</v>
      </c>
      <c r="F85" s="248">
        <v>15.75</v>
      </c>
      <c r="G85" s="248">
        <v>456.75</v>
      </c>
      <c r="H85" s="248">
        <v>456.75</v>
      </c>
      <c r="I85" s="251">
        <v>2.3E-3</v>
      </c>
      <c r="J85" s="252">
        <v>176556.28</v>
      </c>
      <c r="K85" s="251">
        <v>0.87919999999999998</v>
      </c>
    </row>
    <row r="86" spans="1:11" ht="30">
      <c r="A86" s="248">
        <v>43491</v>
      </c>
      <c r="B86" s="248" t="s">
        <v>431</v>
      </c>
      <c r="C86" s="249" t="s">
        <v>1636</v>
      </c>
      <c r="D86" s="248" t="s">
        <v>520</v>
      </c>
      <c r="E86" s="250">
        <v>394.63643780000001</v>
      </c>
      <c r="F86" s="248">
        <v>1.1499999999999999</v>
      </c>
      <c r="G86" s="248">
        <v>453.83</v>
      </c>
      <c r="H86" s="248">
        <v>453.83</v>
      </c>
      <c r="I86" s="251">
        <v>2.3E-3</v>
      </c>
      <c r="J86" s="252">
        <v>177010.11</v>
      </c>
      <c r="K86" s="251">
        <v>0.88139999999999996</v>
      </c>
    </row>
    <row r="87" spans="1:11">
      <c r="A87" s="248" t="s">
        <v>1637</v>
      </c>
      <c r="B87" s="248" t="s">
        <v>427</v>
      </c>
      <c r="C87" s="249" t="s">
        <v>1638</v>
      </c>
      <c r="D87" s="248" t="s">
        <v>520</v>
      </c>
      <c r="E87" s="250">
        <v>37.8601964</v>
      </c>
      <c r="F87" s="248">
        <v>11.85</v>
      </c>
      <c r="G87" s="248">
        <v>448.64</v>
      </c>
      <c r="H87" s="248">
        <v>448.64</v>
      </c>
      <c r="I87" s="251">
        <v>2.2000000000000001E-3</v>
      </c>
      <c r="J87" s="252">
        <v>177458.76</v>
      </c>
      <c r="K87" s="251">
        <v>0.88370000000000004</v>
      </c>
    </row>
    <row r="88" spans="1:11">
      <c r="A88" s="248" t="s">
        <v>1639</v>
      </c>
      <c r="B88" s="248" t="s">
        <v>427</v>
      </c>
      <c r="C88" s="249" t="s">
        <v>1640</v>
      </c>
      <c r="D88" s="248" t="s">
        <v>476</v>
      </c>
      <c r="E88" s="250">
        <v>56.14884</v>
      </c>
      <c r="F88" s="248">
        <v>7.64</v>
      </c>
      <c r="G88" s="248">
        <v>428.98</v>
      </c>
      <c r="H88" s="248">
        <v>428.98</v>
      </c>
      <c r="I88" s="251">
        <v>2.0999999999999999E-3</v>
      </c>
      <c r="J88" s="252">
        <v>177887.73</v>
      </c>
      <c r="K88" s="251">
        <v>0.88580000000000003</v>
      </c>
    </row>
    <row r="89" spans="1:11">
      <c r="A89" s="248">
        <v>6085</v>
      </c>
      <c r="B89" s="248" t="s">
        <v>431</v>
      </c>
      <c r="C89" s="249" t="s">
        <v>815</v>
      </c>
      <c r="D89" s="248" t="s">
        <v>816</v>
      </c>
      <c r="E89" s="250">
        <v>43.750399999999999</v>
      </c>
      <c r="F89" s="248">
        <v>9.7200000000000006</v>
      </c>
      <c r="G89" s="248">
        <v>425.25</v>
      </c>
      <c r="H89" s="248">
        <v>425.25</v>
      </c>
      <c r="I89" s="251">
        <v>2.0999999999999999E-3</v>
      </c>
      <c r="J89" s="252">
        <v>178312.99</v>
      </c>
      <c r="K89" s="251">
        <v>0.88790000000000002</v>
      </c>
    </row>
    <row r="90" spans="1:11">
      <c r="A90" s="248">
        <v>9835</v>
      </c>
      <c r="B90" s="248" t="s">
        <v>431</v>
      </c>
      <c r="C90" s="249" t="s">
        <v>1641</v>
      </c>
      <c r="D90" s="248" t="s">
        <v>31</v>
      </c>
      <c r="E90" s="250">
        <v>64.427999999999997</v>
      </c>
      <c r="F90" s="248">
        <v>6.57</v>
      </c>
      <c r="G90" s="248">
        <v>423.29</v>
      </c>
      <c r="H90" s="248">
        <v>423.29</v>
      </c>
      <c r="I90" s="251">
        <v>2.0999999999999999E-3</v>
      </c>
      <c r="J90" s="252">
        <v>178736.28</v>
      </c>
      <c r="K90" s="251">
        <v>0.89</v>
      </c>
    </row>
    <row r="91" spans="1:11">
      <c r="A91" s="248">
        <v>1333</v>
      </c>
      <c r="B91" s="248" t="s">
        <v>431</v>
      </c>
      <c r="C91" s="249" t="s">
        <v>636</v>
      </c>
      <c r="D91" s="248" t="s">
        <v>60</v>
      </c>
      <c r="E91" s="250">
        <v>30.7989</v>
      </c>
      <c r="F91" s="248">
        <v>12.77</v>
      </c>
      <c r="G91" s="248">
        <v>393.3</v>
      </c>
      <c r="H91" s="248">
        <v>393.3</v>
      </c>
      <c r="I91" s="251">
        <v>2E-3</v>
      </c>
      <c r="J91" s="252">
        <v>179129.58</v>
      </c>
      <c r="K91" s="251">
        <v>0.89200000000000002</v>
      </c>
    </row>
    <row r="92" spans="1:11">
      <c r="A92" s="248">
        <v>44497</v>
      </c>
      <c r="B92" s="248" t="s">
        <v>431</v>
      </c>
      <c r="C92" s="249" t="s">
        <v>1642</v>
      </c>
      <c r="D92" s="248" t="s">
        <v>520</v>
      </c>
      <c r="E92" s="250">
        <v>22.4000497</v>
      </c>
      <c r="F92" s="248">
        <v>17.43</v>
      </c>
      <c r="G92" s="248">
        <v>390.43</v>
      </c>
      <c r="H92" s="248">
        <v>390.43</v>
      </c>
      <c r="I92" s="251">
        <v>1.9E-3</v>
      </c>
      <c r="J92" s="252">
        <v>179520.02</v>
      </c>
      <c r="K92" s="251">
        <v>0.89390000000000003</v>
      </c>
    </row>
    <row r="93" spans="1:11">
      <c r="A93" s="248" t="s">
        <v>1643</v>
      </c>
      <c r="B93" s="248" t="s">
        <v>427</v>
      </c>
      <c r="C93" s="249" t="s">
        <v>803</v>
      </c>
      <c r="D93" s="248" t="s">
        <v>476</v>
      </c>
      <c r="E93" s="250">
        <v>721.10587499999997</v>
      </c>
      <c r="F93" s="248">
        <v>0.54</v>
      </c>
      <c r="G93" s="248">
        <v>389.4</v>
      </c>
      <c r="H93" s="248">
        <v>389.4</v>
      </c>
      <c r="I93" s="251">
        <v>1.9E-3</v>
      </c>
      <c r="J93" s="252">
        <v>179909.41</v>
      </c>
      <c r="K93" s="251">
        <v>0.89590000000000003</v>
      </c>
    </row>
    <row r="94" spans="1:11" ht="60">
      <c r="A94" s="248" t="s">
        <v>1644</v>
      </c>
      <c r="B94" s="248" t="s">
        <v>427</v>
      </c>
      <c r="C94" s="249" t="s">
        <v>457</v>
      </c>
      <c r="D94" s="248" t="s">
        <v>451</v>
      </c>
      <c r="E94" s="250">
        <v>2.2000000000000002</v>
      </c>
      <c r="F94" s="248">
        <v>173.78</v>
      </c>
      <c r="G94" s="248">
        <v>382.32</v>
      </c>
      <c r="H94" s="248">
        <v>382.32</v>
      </c>
      <c r="I94" s="251">
        <v>1.9E-3</v>
      </c>
      <c r="J94" s="252">
        <v>180291.73</v>
      </c>
      <c r="K94" s="251">
        <v>0.89780000000000004</v>
      </c>
    </row>
    <row r="95" spans="1:11">
      <c r="A95" s="248">
        <v>34</v>
      </c>
      <c r="B95" s="248" t="s">
        <v>431</v>
      </c>
      <c r="C95" s="249" t="s">
        <v>1429</v>
      </c>
      <c r="D95" s="248" t="s">
        <v>60</v>
      </c>
      <c r="E95" s="250">
        <v>40.968800000000002</v>
      </c>
      <c r="F95" s="248">
        <v>9.2899999999999991</v>
      </c>
      <c r="G95" s="248">
        <v>380.6</v>
      </c>
      <c r="H95" s="248">
        <v>380.6</v>
      </c>
      <c r="I95" s="251">
        <v>1.9E-3</v>
      </c>
      <c r="J95" s="252">
        <v>180672.33</v>
      </c>
      <c r="K95" s="251">
        <v>0.89970000000000006</v>
      </c>
    </row>
    <row r="96" spans="1:11" ht="60">
      <c r="A96" s="248" t="s">
        <v>1645</v>
      </c>
      <c r="B96" s="248" t="s">
        <v>427</v>
      </c>
      <c r="C96" s="249" t="s">
        <v>1300</v>
      </c>
      <c r="D96" s="248" t="s">
        <v>676</v>
      </c>
      <c r="E96" s="250">
        <v>1</v>
      </c>
      <c r="F96" s="248">
        <v>375.94</v>
      </c>
      <c r="G96" s="248">
        <v>375.94</v>
      </c>
      <c r="H96" s="248">
        <v>375.94</v>
      </c>
      <c r="I96" s="251">
        <v>1.9E-3</v>
      </c>
      <c r="J96" s="252">
        <v>181048.27</v>
      </c>
      <c r="K96" s="251">
        <v>0.90149999999999997</v>
      </c>
    </row>
    <row r="97" spans="1:11" ht="30">
      <c r="A97" s="248" t="s">
        <v>1646</v>
      </c>
      <c r="B97" s="248" t="s">
        <v>427</v>
      </c>
      <c r="C97" s="249" t="s">
        <v>569</v>
      </c>
      <c r="D97" s="248" t="s">
        <v>451</v>
      </c>
      <c r="E97" s="250">
        <v>5.75488</v>
      </c>
      <c r="F97" s="248">
        <v>65.180000000000007</v>
      </c>
      <c r="G97" s="248">
        <v>375.1</v>
      </c>
      <c r="H97" s="248">
        <v>375.1</v>
      </c>
      <c r="I97" s="251">
        <v>1.9E-3</v>
      </c>
      <c r="J97" s="252">
        <v>181423.37</v>
      </c>
      <c r="K97" s="251">
        <v>0.90339999999999998</v>
      </c>
    </row>
    <row r="98" spans="1:11">
      <c r="A98" s="248" t="s">
        <v>1647</v>
      </c>
      <c r="B98" s="248" t="s">
        <v>427</v>
      </c>
      <c r="C98" s="249" t="s">
        <v>1629</v>
      </c>
      <c r="D98" s="248" t="s">
        <v>520</v>
      </c>
      <c r="E98" s="250">
        <v>29.466666</v>
      </c>
      <c r="F98" s="248">
        <v>12.58</v>
      </c>
      <c r="G98" s="248">
        <v>370.69</v>
      </c>
      <c r="H98" s="248">
        <v>370.69</v>
      </c>
      <c r="I98" s="251">
        <v>1.8E-3</v>
      </c>
      <c r="J98" s="252">
        <v>181794.06</v>
      </c>
      <c r="K98" s="251">
        <v>0.9052</v>
      </c>
    </row>
    <row r="99" spans="1:11" ht="45">
      <c r="A99" s="248">
        <v>3378</v>
      </c>
      <c r="B99" s="248" t="s">
        <v>431</v>
      </c>
      <c r="C99" s="249" t="s">
        <v>1342</v>
      </c>
      <c r="D99" s="248" t="s">
        <v>8</v>
      </c>
      <c r="E99" s="250">
        <v>3</v>
      </c>
      <c r="F99" s="248">
        <v>121.21</v>
      </c>
      <c r="G99" s="248">
        <v>363.63</v>
      </c>
      <c r="H99" s="248">
        <v>363.63</v>
      </c>
      <c r="I99" s="251">
        <v>1.8E-3</v>
      </c>
      <c r="J99" s="252">
        <v>182157.69</v>
      </c>
      <c r="K99" s="251">
        <v>0.90710000000000002</v>
      </c>
    </row>
    <row r="100" spans="1:11" ht="30">
      <c r="A100" s="248">
        <v>9839</v>
      </c>
      <c r="B100" s="248" t="s">
        <v>431</v>
      </c>
      <c r="C100" s="249" t="s">
        <v>1648</v>
      </c>
      <c r="D100" s="248" t="s">
        <v>31</v>
      </c>
      <c r="E100" s="250">
        <v>13.811199999999999</v>
      </c>
      <c r="F100" s="248">
        <v>25.67</v>
      </c>
      <c r="G100" s="248">
        <v>354.53</v>
      </c>
      <c r="H100" s="248">
        <v>354.53</v>
      </c>
      <c r="I100" s="251">
        <v>1.8E-3</v>
      </c>
      <c r="J100" s="252">
        <v>182512.23</v>
      </c>
      <c r="K100" s="251">
        <v>0.90880000000000005</v>
      </c>
    </row>
    <row r="101" spans="1:11">
      <c r="A101" s="248">
        <v>659</v>
      </c>
      <c r="B101" s="248" t="s">
        <v>431</v>
      </c>
      <c r="C101" s="249" t="s">
        <v>1425</v>
      </c>
      <c r="D101" s="248" t="s">
        <v>8</v>
      </c>
      <c r="E101" s="250">
        <v>177.28800000000001</v>
      </c>
      <c r="F101" s="248">
        <v>1.97</v>
      </c>
      <c r="G101" s="248">
        <v>349.26</v>
      </c>
      <c r="H101" s="248">
        <v>349.26</v>
      </c>
      <c r="I101" s="251">
        <v>1.6999999999999999E-3</v>
      </c>
      <c r="J101" s="252">
        <v>182861.48</v>
      </c>
      <c r="K101" s="251">
        <v>0.91059999999999997</v>
      </c>
    </row>
    <row r="102" spans="1:11">
      <c r="A102" s="248" t="s">
        <v>1649</v>
      </c>
      <c r="B102" s="248" t="s">
        <v>427</v>
      </c>
      <c r="C102" s="249" t="s">
        <v>670</v>
      </c>
      <c r="D102" s="248" t="s">
        <v>671</v>
      </c>
      <c r="E102" s="250">
        <v>11.76</v>
      </c>
      <c r="F102" s="248">
        <v>28.46</v>
      </c>
      <c r="G102" s="248">
        <v>334.69</v>
      </c>
      <c r="H102" s="248">
        <v>334.69</v>
      </c>
      <c r="I102" s="251">
        <v>1.6999999999999999E-3</v>
      </c>
      <c r="J102" s="252">
        <v>183196.17</v>
      </c>
      <c r="K102" s="251">
        <v>0.91220000000000001</v>
      </c>
    </row>
    <row r="103" spans="1:11" ht="30">
      <c r="A103" s="248" t="s">
        <v>1650</v>
      </c>
      <c r="B103" s="248" t="s">
        <v>427</v>
      </c>
      <c r="C103" s="249" t="s">
        <v>1651</v>
      </c>
      <c r="D103" s="248" t="s">
        <v>676</v>
      </c>
      <c r="E103" s="250">
        <v>590.68656639999995</v>
      </c>
      <c r="F103" s="248">
        <v>0.56000000000000005</v>
      </c>
      <c r="G103" s="248">
        <v>330.78</v>
      </c>
      <c r="H103" s="248">
        <v>330.78</v>
      </c>
      <c r="I103" s="251">
        <v>1.6000000000000001E-3</v>
      </c>
      <c r="J103" s="252">
        <v>183526.96</v>
      </c>
      <c r="K103" s="251">
        <v>0.91390000000000005</v>
      </c>
    </row>
    <row r="104" spans="1:11" ht="30">
      <c r="A104" s="248" t="s">
        <v>1652</v>
      </c>
      <c r="B104" s="248" t="s">
        <v>427</v>
      </c>
      <c r="C104" s="249" t="s">
        <v>1653</v>
      </c>
      <c r="D104" s="248" t="s">
        <v>1576</v>
      </c>
      <c r="E104" s="250">
        <v>586.0534576</v>
      </c>
      <c r="F104" s="248">
        <v>0.56000000000000005</v>
      </c>
      <c r="G104" s="248">
        <v>328.19</v>
      </c>
      <c r="H104" s="248">
        <v>328.19</v>
      </c>
      <c r="I104" s="251">
        <v>1.6000000000000001E-3</v>
      </c>
      <c r="J104" s="252">
        <v>183855.15</v>
      </c>
      <c r="K104" s="251">
        <v>0.91549999999999998</v>
      </c>
    </row>
    <row r="105" spans="1:11" ht="45">
      <c r="A105" s="248" t="s">
        <v>1654</v>
      </c>
      <c r="B105" s="248" t="s">
        <v>427</v>
      </c>
      <c r="C105" s="249" t="s">
        <v>1655</v>
      </c>
      <c r="D105" s="248" t="s">
        <v>472</v>
      </c>
      <c r="E105" s="250">
        <v>193.62853749999999</v>
      </c>
      <c r="F105" s="248">
        <v>1.66</v>
      </c>
      <c r="G105" s="248">
        <v>321.42</v>
      </c>
      <c r="H105" s="248">
        <v>321.42</v>
      </c>
      <c r="I105" s="251">
        <v>1.6000000000000001E-3</v>
      </c>
      <c r="J105" s="252">
        <v>184176.57</v>
      </c>
      <c r="K105" s="251">
        <v>0.91710000000000003</v>
      </c>
    </row>
    <row r="106" spans="1:11" ht="30">
      <c r="A106" s="248">
        <v>358</v>
      </c>
      <c r="B106" s="248" t="s">
        <v>431</v>
      </c>
      <c r="C106" s="249" t="s">
        <v>1656</v>
      </c>
      <c r="D106" s="248" t="s">
        <v>8</v>
      </c>
      <c r="E106" s="250">
        <v>6</v>
      </c>
      <c r="F106" s="248">
        <v>53.16</v>
      </c>
      <c r="G106" s="248">
        <v>318.95999999999998</v>
      </c>
      <c r="H106" s="248">
        <v>318.95999999999998</v>
      </c>
      <c r="I106" s="251">
        <v>1.6000000000000001E-3</v>
      </c>
      <c r="J106" s="252">
        <v>184495.53</v>
      </c>
      <c r="K106" s="251">
        <v>0.91869999999999996</v>
      </c>
    </row>
    <row r="107" spans="1:11">
      <c r="A107" s="248" t="s">
        <v>1657</v>
      </c>
      <c r="B107" s="248" t="s">
        <v>427</v>
      </c>
      <c r="C107" s="249" t="s">
        <v>701</v>
      </c>
      <c r="D107" s="248" t="s">
        <v>542</v>
      </c>
      <c r="E107" s="250">
        <v>320.94</v>
      </c>
      <c r="F107" s="248">
        <v>0.98</v>
      </c>
      <c r="G107" s="248">
        <v>314.52</v>
      </c>
      <c r="H107" s="248">
        <v>314.52</v>
      </c>
      <c r="I107" s="251">
        <v>1.6000000000000001E-3</v>
      </c>
      <c r="J107" s="252">
        <v>184810.05</v>
      </c>
      <c r="K107" s="251">
        <v>0.92030000000000001</v>
      </c>
    </row>
    <row r="108" spans="1:11" ht="45">
      <c r="A108" s="248" t="s">
        <v>1658</v>
      </c>
      <c r="B108" s="248" t="s">
        <v>427</v>
      </c>
      <c r="C108" s="249" t="s">
        <v>1659</v>
      </c>
      <c r="D108" s="248" t="s">
        <v>451</v>
      </c>
      <c r="E108" s="250">
        <v>4.4505600000000003</v>
      </c>
      <c r="F108" s="248">
        <v>70.42</v>
      </c>
      <c r="G108" s="248">
        <v>313.41000000000003</v>
      </c>
      <c r="H108" s="248">
        <v>313.41000000000003</v>
      </c>
      <c r="I108" s="251">
        <v>1.6000000000000001E-3</v>
      </c>
      <c r="J108" s="252">
        <v>185123.46</v>
      </c>
      <c r="K108" s="251">
        <v>0.92179999999999995</v>
      </c>
    </row>
    <row r="109" spans="1:11" ht="30">
      <c r="A109" s="248">
        <v>1013</v>
      </c>
      <c r="B109" s="248" t="s">
        <v>431</v>
      </c>
      <c r="C109" s="249" t="s">
        <v>1318</v>
      </c>
      <c r="D109" s="248" t="s">
        <v>31</v>
      </c>
      <c r="E109" s="250">
        <v>238</v>
      </c>
      <c r="F109" s="248">
        <v>1.3</v>
      </c>
      <c r="G109" s="248">
        <v>309.39999999999998</v>
      </c>
      <c r="H109" s="248">
        <v>309.39999999999998</v>
      </c>
      <c r="I109" s="251">
        <v>1.5E-3</v>
      </c>
      <c r="J109" s="252">
        <v>185432.86</v>
      </c>
      <c r="K109" s="251">
        <v>0.9234</v>
      </c>
    </row>
    <row r="110" spans="1:11">
      <c r="A110" s="248">
        <v>5318</v>
      </c>
      <c r="B110" s="248" t="s">
        <v>431</v>
      </c>
      <c r="C110" s="249" t="s">
        <v>824</v>
      </c>
      <c r="D110" s="248" t="s">
        <v>816</v>
      </c>
      <c r="E110" s="250">
        <v>16.0842481</v>
      </c>
      <c r="F110" s="248">
        <v>18.55</v>
      </c>
      <c r="G110" s="248">
        <v>298.36</v>
      </c>
      <c r="H110" s="248">
        <v>298.36</v>
      </c>
      <c r="I110" s="251">
        <v>1.5E-3</v>
      </c>
      <c r="J110" s="252">
        <v>185731.22</v>
      </c>
      <c r="K110" s="251">
        <v>0.92479999999999996</v>
      </c>
    </row>
    <row r="111" spans="1:11" ht="30">
      <c r="A111" s="248">
        <v>43489</v>
      </c>
      <c r="B111" s="248" t="s">
        <v>431</v>
      </c>
      <c r="C111" s="249" t="s">
        <v>1660</v>
      </c>
      <c r="D111" s="248" t="s">
        <v>520</v>
      </c>
      <c r="E111" s="250">
        <v>271.72197870000002</v>
      </c>
      <c r="F111" s="248">
        <v>1.0900000000000001</v>
      </c>
      <c r="G111" s="248">
        <v>296.18</v>
      </c>
      <c r="H111" s="248">
        <v>296.18</v>
      </c>
      <c r="I111" s="251">
        <v>1.5E-3</v>
      </c>
      <c r="J111" s="252">
        <v>186027.4</v>
      </c>
      <c r="K111" s="251">
        <v>0.92630000000000001</v>
      </c>
    </row>
    <row r="112" spans="1:11">
      <c r="A112" s="248" t="s">
        <v>1661</v>
      </c>
      <c r="B112" s="248" t="s">
        <v>427</v>
      </c>
      <c r="C112" s="249" t="s">
        <v>479</v>
      </c>
      <c r="D112" s="248" t="s">
        <v>472</v>
      </c>
      <c r="E112" s="250">
        <v>188.13900000000001</v>
      </c>
      <c r="F112" s="248">
        <v>1.56</v>
      </c>
      <c r="G112" s="248">
        <v>293.5</v>
      </c>
      <c r="H112" s="248">
        <v>293.5</v>
      </c>
      <c r="I112" s="251">
        <v>1.5E-3</v>
      </c>
      <c r="J112" s="252">
        <v>186320.9</v>
      </c>
      <c r="K112" s="251">
        <v>0.92779999999999996</v>
      </c>
    </row>
    <row r="113" spans="1:11">
      <c r="A113" s="248">
        <v>38125</v>
      </c>
      <c r="B113" s="248" t="s">
        <v>431</v>
      </c>
      <c r="C113" s="249" t="s">
        <v>968</v>
      </c>
      <c r="D113" s="248" t="s">
        <v>60</v>
      </c>
      <c r="E113" s="250">
        <v>209.42500000000001</v>
      </c>
      <c r="F113" s="248">
        <v>1.37</v>
      </c>
      <c r="G113" s="248">
        <v>286.91000000000003</v>
      </c>
      <c r="H113" s="248">
        <v>286.91000000000003</v>
      </c>
      <c r="I113" s="251">
        <v>1.4E-3</v>
      </c>
      <c r="J113" s="252">
        <v>186607.81</v>
      </c>
      <c r="K113" s="251">
        <v>0.92920000000000003</v>
      </c>
    </row>
    <row r="114" spans="1:11">
      <c r="A114" s="248">
        <v>39</v>
      </c>
      <c r="B114" s="248" t="s">
        <v>622</v>
      </c>
      <c r="C114" s="249" t="s">
        <v>1406</v>
      </c>
      <c r="D114" s="248" t="s">
        <v>184</v>
      </c>
      <c r="E114" s="250">
        <v>6</v>
      </c>
      <c r="F114" s="248">
        <v>46.3</v>
      </c>
      <c r="G114" s="248">
        <v>277.8</v>
      </c>
      <c r="H114" s="248">
        <v>277.8</v>
      </c>
      <c r="I114" s="251">
        <v>1.4E-3</v>
      </c>
      <c r="J114" s="252">
        <v>186885.61</v>
      </c>
      <c r="K114" s="251">
        <v>0.93059999999999998</v>
      </c>
    </row>
    <row r="115" spans="1:11" ht="30">
      <c r="A115" s="248">
        <v>20083</v>
      </c>
      <c r="B115" s="248" t="s">
        <v>431</v>
      </c>
      <c r="C115" s="249" t="s">
        <v>1032</v>
      </c>
      <c r="D115" s="248" t="s">
        <v>8</v>
      </c>
      <c r="E115" s="250">
        <v>4.3582137999999997</v>
      </c>
      <c r="F115" s="248">
        <v>62.76</v>
      </c>
      <c r="G115" s="248">
        <v>273.52</v>
      </c>
      <c r="H115" s="248">
        <v>273.52</v>
      </c>
      <c r="I115" s="251">
        <v>1.4E-3</v>
      </c>
      <c r="J115" s="252">
        <v>187159.13</v>
      </c>
      <c r="K115" s="251">
        <v>0.93200000000000005</v>
      </c>
    </row>
    <row r="116" spans="1:11">
      <c r="A116" s="248">
        <v>12873</v>
      </c>
      <c r="B116" s="248" t="s">
        <v>431</v>
      </c>
      <c r="C116" s="249" t="s">
        <v>1662</v>
      </c>
      <c r="D116" s="248" t="s">
        <v>520</v>
      </c>
      <c r="E116" s="250">
        <v>14.809414800000001</v>
      </c>
      <c r="F116" s="248">
        <v>17.920000000000002</v>
      </c>
      <c r="G116" s="248">
        <v>265.38</v>
      </c>
      <c r="H116" s="248">
        <v>265.38</v>
      </c>
      <c r="I116" s="251">
        <v>1.2999999999999999E-3</v>
      </c>
      <c r="J116" s="252">
        <v>187424.52</v>
      </c>
      <c r="K116" s="251">
        <v>0.93330000000000002</v>
      </c>
    </row>
    <row r="117" spans="1:11" ht="30">
      <c r="A117" s="248" t="s">
        <v>1663</v>
      </c>
      <c r="B117" s="248" t="s">
        <v>427</v>
      </c>
      <c r="C117" s="249" t="s">
        <v>1664</v>
      </c>
      <c r="D117" s="248" t="s">
        <v>476</v>
      </c>
      <c r="E117" s="250">
        <v>12.761100000000001</v>
      </c>
      <c r="F117" s="248">
        <v>20.3</v>
      </c>
      <c r="G117" s="248">
        <v>259.05</v>
      </c>
      <c r="H117" s="248">
        <v>259.05</v>
      </c>
      <c r="I117" s="251">
        <v>1.2999999999999999E-3</v>
      </c>
      <c r="J117" s="252">
        <v>187683.57</v>
      </c>
      <c r="K117" s="251">
        <v>0.93459999999999999</v>
      </c>
    </row>
    <row r="118" spans="1:11" ht="30">
      <c r="A118" s="248">
        <v>43490</v>
      </c>
      <c r="B118" s="248" t="s">
        <v>431</v>
      </c>
      <c r="C118" s="249" t="s">
        <v>1665</v>
      </c>
      <c r="D118" s="248" t="s">
        <v>520</v>
      </c>
      <c r="E118" s="250">
        <v>166.26562970000001</v>
      </c>
      <c r="F118" s="248">
        <v>1.5</v>
      </c>
      <c r="G118" s="248">
        <v>249.4</v>
      </c>
      <c r="H118" s="248">
        <v>249.4</v>
      </c>
      <c r="I118" s="251">
        <v>1.1999999999999999E-3</v>
      </c>
      <c r="J118" s="252">
        <v>187932.96</v>
      </c>
      <c r="K118" s="251">
        <v>0.93579999999999997</v>
      </c>
    </row>
    <row r="119" spans="1:11" ht="45">
      <c r="A119" s="248">
        <v>7604</v>
      </c>
      <c r="B119" s="248" t="s">
        <v>431</v>
      </c>
      <c r="C119" s="249" t="s">
        <v>1018</v>
      </c>
      <c r="D119" s="248" t="s">
        <v>8</v>
      </c>
      <c r="E119" s="250">
        <v>6</v>
      </c>
      <c r="F119" s="248">
        <v>41.11</v>
      </c>
      <c r="G119" s="248">
        <v>246.66</v>
      </c>
      <c r="H119" s="248">
        <v>246.66</v>
      </c>
      <c r="I119" s="251">
        <v>1.1999999999999999E-3</v>
      </c>
      <c r="J119" s="252">
        <v>188179.62</v>
      </c>
      <c r="K119" s="251">
        <v>0.93700000000000006</v>
      </c>
    </row>
    <row r="120" spans="1:11" ht="30">
      <c r="A120" s="248">
        <v>43466</v>
      </c>
      <c r="B120" s="248" t="s">
        <v>431</v>
      </c>
      <c r="C120" s="249" t="s">
        <v>1666</v>
      </c>
      <c r="D120" s="248" t="s">
        <v>520</v>
      </c>
      <c r="E120" s="250">
        <v>166.26562970000001</v>
      </c>
      <c r="F120" s="248">
        <v>1.48</v>
      </c>
      <c r="G120" s="248">
        <v>246.07</v>
      </c>
      <c r="H120" s="248">
        <v>246.07</v>
      </c>
      <c r="I120" s="251">
        <v>1.1999999999999999E-3</v>
      </c>
      <c r="J120" s="252">
        <v>188425.7</v>
      </c>
      <c r="K120" s="251">
        <v>0.93830000000000002</v>
      </c>
    </row>
    <row r="121" spans="1:11">
      <c r="A121" s="248">
        <v>37666</v>
      </c>
      <c r="B121" s="248" t="s">
        <v>431</v>
      </c>
      <c r="C121" s="249" t="s">
        <v>1667</v>
      </c>
      <c r="D121" s="248" t="s">
        <v>520</v>
      </c>
      <c r="E121" s="250">
        <v>15.4328565</v>
      </c>
      <c r="F121" s="248">
        <v>15.45</v>
      </c>
      <c r="G121" s="248">
        <v>238.44</v>
      </c>
      <c r="H121" s="248">
        <v>238.44</v>
      </c>
      <c r="I121" s="251">
        <v>1.1999999999999999E-3</v>
      </c>
      <c r="J121" s="252">
        <v>188664.13</v>
      </c>
      <c r="K121" s="251">
        <v>0.9395</v>
      </c>
    </row>
    <row r="122" spans="1:11">
      <c r="A122" s="248" t="s">
        <v>1668</v>
      </c>
      <c r="B122" s="248" t="s">
        <v>427</v>
      </c>
      <c r="C122" s="249" t="s">
        <v>1669</v>
      </c>
      <c r="D122" s="248" t="s">
        <v>520</v>
      </c>
      <c r="E122" s="250">
        <v>19.496110699999999</v>
      </c>
      <c r="F122" s="248">
        <v>12.07</v>
      </c>
      <c r="G122" s="248">
        <v>235.32</v>
      </c>
      <c r="H122" s="248">
        <v>235.32</v>
      </c>
      <c r="I122" s="251">
        <v>1.1999999999999999E-3</v>
      </c>
      <c r="J122" s="252">
        <v>188899.45</v>
      </c>
      <c r="K122" s="251">
        <v>0.94059999999999999</v>
      </c>
    </row>
    <row r="123" spans="1:11">
      <c r="A123" s="248">
        <v>34709</v>
      </c>
      <c r="B123" s="248" t="s">
        <v>431</v>
      </c>
      <c r="C123" s="249" t="s">
        <v>1267</v>
      </c>
      <c r="D123" s="248" t="s">
        <v>8</v>
      </c>
      <c r="E123" s="250">
        <v>2</v>
      </c>
      <c r="F123" s="248">
        <v>114.09</v>
      </c>
      <c r="G123" s="248">
        <v>228.18</v>
      </c>
      <c r="H123" s="248">
        <v>228.18</v>
      </c>
      <c r="I123" s="251">
        <v>1.1000000000000001E-3</v>
      </c>
      <c r="J123" s="252">
        <v>189127.63</v>
      </c>
      <c r="K123" s="251">
        <v>0.94179999999999997</v>
      </c>
    </row>
    <row r="124" spans="1:11">
      <c r="A124" s="248">
        <v>9838</v>
      </c>
      <c r="B124" s="248" t="s">
        <v>431</v>
      </c>
      <c r="C124" s="249" t="s">
        <v>1034</v>
      </c>
      <c r="D124" s="248" t="s">
        <v>31</v>
      </c>
      <c r="E124" s="250">
        <v>20.265000000000001</v>
      </c>
      <c r="F124" s="248">
        <v>11.18</v>
      </c>
      <c r="G124" s="248">
        <v>226.56</v>
      </c>
      <c r="H124" s="248">
        <v>226.56</v>
      </c>
      <c r="I124" s="251">
        <v>1.1000000000000001E-3</v>
      </c>
      <c r="J124" s="252">
        <v>189354.2</v>
      </c>
      <c r="K124" s="251">
        <v>0.94289999999999996</v>
      </c>
    </row>
    <row r="125" spans="1:11">
      <c r="A125" s="248">
        <v>43059</v>
      </c>
      <c r="B125" s="248" t="s">
        <v>431</v>
      </c>
      <c r="C125" s="249" t="s">
        <v>1670</v>
      </c>
      <c r="D125" s="248" t="s">
        <v>60</v>
      </c>
      <c r="E125" s="250">
        <v>25.555879999999998</v>
      </c>
      <c r="F125" s="248">
        <v>8.7899999999999991</v>
      </c>
      <c r="G125" s="248">
        <v>224.64</v>
      </c>
      <c r="H125" s="248">
        <v>224.64</v>
      </c>
      <c r="I125" s="251">
        <v>1.1000000000000001E-3</v>
      </c>
      <c r="J125" s="252">
        <v>189578.83</v>
      </c>
      <c r="K125" s="251">
        <v>0.94399999999999995</v>
      </c>
    </row>
    <row r="126" spans="1:11" ht="30">
      <c r="A126" s="248">
        <v>43485</v>
      </c>
      <c r="B126" s="248" t="s">
        <v>431</v>
      </c>
      <c r="C126" s="249" t="s">
        <v>1671</v>
      </c>
      <c r="D126" s="248" t="s">
        <v>520</v>
      </c>
      <c r="E126" s="250">
        <v>237.55638070000001</v>
      </c>
      <c r="F126" s="248">
        <v>0.94</v>
      </c>
      <c r="G126" s="248">
        <v>223.3</v>
      </c>
      <c r="H126" s="248">
        <v>223.3</v>
      </c>
      <c r="I126" s="251">
        <v>1.1000000000000001E-3</v>
      </c>
      <c r="J126" s="252">
        <v>189802.13</v>
      </c>
      <c r="K126" s="251">
        <v>0.94510000000000005</v>
      </c>
    </row>
    <row r="127" spans="1:11" ht="30">
      <c r="A127" s="248">
        <v>43467</v>
      </c>
      <c r="B127" s="248" t="s">
        <v>431</v>
      </c>
      <c r="C127" s="249" t="s">
        <v>1672</v>
      </c>
      <c r="D127" s="248" t="s">
        <v>520</v>
      </c>
      <c r="E127" s="250">
        <v>394.63643780000001</v>
      </c>
      <c r="F127" s="248">
        <v>0.56000000000000005</v>
      </c>
      <c r="G127" s="248">
        <v>221</v>
      </c>
      <c r="H127" s="248">
        <v>221</v>
      </c>
      <c r="I127" s="251">
        <v>1.1000000000000001E-3</v>
      </c>
      <c r="J127" s="252">
        <v>190023.13</v>
      </c>
      <c r="K127" s="251">
        <v>0.94620000000000004</v>
      </c>
    </row>
    <row r="128" spans="1:11">
      <c r="A128" s="248" t="s">
        <v>1673</v>
      </c>
      <c r="B128" s="248" t="s">
        <v>427</v>
      </c>
      <c r="C128" s="249" t="s">
        <v>1401</v>
      </c>
      <c r="D128" s="248" t="s">
        <v>542</v>
      </c>
      <c r="E128" s="250">
        <v>7</v>
      </c>
      <c r="F128" s="248">
        <v>30.6</v>
      </c>
      <c r="G128" s="248">
        <v>214.2</v>
      </c>
      <c r="H128" s="248">
        <v>214.2</v>
      </c>
      <c r="I128" s="251">
        <v>1.1000000000000001E-3</v>
      </c>
      <c r="J128" s="252">
        <v>190237.33</v>
      </c>
      <c r="K128" s="251">
        <v>0.94730000000000003</v>
      </c>
    </row>
    <row r="129" spans="1:11">
      <c r="A129" s="248">
        <v>11061</v>
      </c>
      <c r="B129" s="248" t="s">
        <v>431</v>
      </c>
      <c r="C129" s="249" t="s">
        <v>1461</v>
      </c>
      <c r="D129" s="248" t="s">
        <v>60</v>
      </c>
      <c r="E129" s="250">
        <v>10.08</v>
      </c>
      <c r="F129" s="248">
        <v>21.1</v>
      </c>
      <c r="G129" s="248">
        <v>212.69</v>
      </c>
      <c r="H129" s="248">
        <v>212.69</v>
      </c>
      <c r="I129" s="251">
        <v>1.1000000000000001E-3</v>
      </c>
      <c r="J129" s="252">
        <v>190450.02</v>
      </c>
      <c r="K129" s="251">
        <v>0.94830000000000003</v>
      </c>
    </row>
    <row r="130" spans="1:11">
      <c r="A130" s="248">
        <v>4760</v>
      </c>
      <c r="B130" s="248" t="s">
        <v>431</v>
      </c>
      <c r="C130" s="249" t="s">
        <v>1674</v>
      </c>
      <c r="D130" s="248" t="s">
        <v>520</v>
      </c>
      <c r="E130" s="250">
        <v>10.91948</v>
      </c>
      <c r="F130" s="248">
        <v>19.43</v>
      </c>
      <c r="G130" s="248">
        <v>212.17</v>
      </c>
      <c r="H130" s="248">
        <v>212.17</v>
      </c>
      <c r="I130" s="251">
        <v>1.1000000000000001E-3</v>
      </c>
      <c r="J130" s="252">
        <v>190662.18</v>
      </c>
      <c r="K130" s="251">
        <v>0.94940000000000002</v>
      </c>
    </row>
    <row r="131" spans="1:11" ht="30">
      <c r="A131" s="253">
        <v>43465</v>
      </c>
      <c r="B131" s="253" t="s">
        <v>431</v>
      </c>
      <c r="C131" s="254" t="s">
        <v>1675</v>
      </c>
      <c r="D131" s="253" t="s">
        <v>520</v>
      </c>
      <c r="E131" s="255">
        <v>271.72197870000002</v>
      </c>
      <c r="F131" s="253">
        <v>0.74</v>
      </c>
      <c r="G131" s="253">
        <v>201.07</v>
      </c>
      <c r="H131" s="253">
        <v>201.07</v>
      </c>
      <c r="I131" s="256">
        <v>1E-3</v>
      </c>
      <c r="J131" s="257">
        <v>190863.26</v>
      </c>
      <c r="K131" s="256">
        <v>0.95040000000000002</v>
      </c>
    </row>
    <row r="132" spans="1:11">
      <c r="A132" s="253" t="s">
        <v>1676</v>
      </c>
      <c r="B132" s="253" t="s">
        <v>427</v>
      </c>
      <c r="C132" s="254" t="s">
        <v>720</v>
      </c>
      <c r="D132" s="253" t="s">
        <v>472</v>
      </c>
      <c r="E132" s="255">
        <v>9.1595999999999993</v>
      </c>
      <c r="F132" s="253">
        <v>20.53</v>
      </c>
      <c r="G132" s="253">
        <v>188.05</v>
      </c>
      <c r="H132" s="253">
        <v>188.05</v>
      </c>
      <c r="I132" s="256">
        <v>8.9999999999999998E-4</v>
      </c>
      <c r="J132" s="257">
        <v>191051.31</v>
      </c>
      <c r="K132" s="256">
        <v>0.95130000000000003</v>
      </c>
    </row>
    <row r="133" spans="1:11" ht="30">
      <c r="A133" s="253" t="s">
        <v>1677</v>
      </c>
      <c r="B133" s="253" t="s">
        <v>427</v>
      </c>
      <c r="C133" s="254" t="s">
        <v>929</v>
      </c>
      <c r="D133" s="253" t="s">
        <v>451</v>
      </c>
      <c r="E133" s="255">
        <v>1.59</v>
      </c>
      <c r="F133" s="253">
        <v>112.12</v>
      </c>
      <c r="G133" s="253">
        <v>178.27</v>
      </c>
      <c r="H133" s="253">
        <v>178.27</v>
      </c>
      <c r="I133" s="256">
        <v>8.9999999999999998E-4</v>
      </c>
      <c r="J133" s="257">
        <v>191229.58</v>
      </c>
      <c r="K133" s="256">
        <v>0.95220000000000005</v>
      </c>
    </row>
    <row r="134" spans="1:11">
      <c r="A134" s="253">
        <v>4257</v>
      </c>
      <c r="B134" s="253" t="s">
        <v>431</v>
      </c>
      <c r="C134" s="254" t="s">
        <v>1678</v>
      </c>
      <c r="D134" s="253" t="s">
        <v>520</v>
      </c>
      <c r="E134" s="255">
        <v>11.360352799999999</v>
      </c>
      <c r="F134" s="253">
        <v>15.3</v>
      </c>
      <c r="G134" s="253">
        <v>173.81</v>
      </c>
      <c r="H134" s="253">
        <v>173.81</v>
      </c>
      <c r="I134" s="256">
        <v>8.9999999999999998E-4</v>
      </c>
      <c r="J134" s="257">
        <v>191403.39</v>
      </c>
      <c r="K134" s="256">
        <v>0.95309999999999995</v>
      </c>
    </row>
    <row r="135" spans="1:11" ht="45">
      <c r="A135" s="253" t="s">
        <v>1679</v>
      </c>
      <c r="B135" s="253" t="s">
        <v>427</v>
      </c>
      <c r="C135" s="254" t="s">
        <v>541</v>
      </c>
      <c r="D135" s="253" t="s">
        <v>542</v>
      </c>
      <c r="E135" s="255">
        <v>13.673999999999999</v>
      </c>
      <c r="F135" s="253">
        <v>12.61</v>
      </c>
      <c r="G135" s="253">
        <v>172.43</v>
      </c>
      <c r="H135" s="253">
        <v>172.43</v>
      </c>
      <c r="I135" s="256">
        <v>8.9999999999999998E-4</v>
      </c>
      <c r="J135" s="257">
        <v>191575.82</v>
      </c>
      <c r="K135" s="256">
        <v>0.95389999999999997</v>
      </c>
    </row>
    <row r="136" spans="1:11">
      <c r="A136" s="253">
        <v>12869</v>
      </c>
      <c r="B136" s="253" t="s">
        <v>431</v>
      </c>
      <c r="C136" s="254" t="s">
        <v>1680</v>
      </c>
      <c r="D136" s="253" t="s">
        <v>520</v>
      </c>
      <c r="E136" s="255">
        <v>9.5819617000000008</v>
      </c>
      <c r="F136" s="253">
        <v>17.71</v>
      </c>
      <c r="G136" s="253">
        <v>169.7</v>
      </c>
      <c r="H136" s="253">
        <v>169.7</v>
      </c>
      <c r="I136" s="256">
        <v>8.0000000000000004E-4</v>
      </c>
      <c r="J136" s="257">
        <v>191745.52</v>
      </c>
      <c r="K136" s="256">
        <v>0.95479999999999998</v>
      </c>
    </row>
    <row r="137" spans="1:11" ht="75">
      <c r="A137" s="253" t="s">
        <v>1681</v>
      </c>
      <c r="B137" s="253" t="s">
        <v>427</v>
      </c>
      <c r="C137" s="254" t="s">
        <v>1303</v>
      </c>
      <c r="D137" s="253" t="s">
        <v>676</v>
      </c>
      <c r="E137" s="255">
        <v>1</v>
      </c>
      <c r="F137" s="253">
        <v>168.74</v>
      </c>
      <c r="G137" s="253">
        <v>168.74</v>
      </c>
      <c r="H137" s="253">
        <v>168.74</v>
      </c>
      <c r="I137" s="256">
        <v>8.0000000000000004E-4</v>
      </c>
      <c r="J137" s="257">
        <v>191914.26</v>
      </c>
      <c r="K137" s="256">
        <v>0.9556</v>
      </c>
    </row>
    <row r="138" spans="1:11">
      <c r="A138" s="253">
        <v>122</v>
      </c>
      <c r="B138" s="253" t="s">
        <v>431</v>
      </c>
      <c r="C138" s="254" t="s">
        <v>1028</v>
      </c>
      <c r="D138" s="253" t="s">
        <v>8</v>
      </c>
      <c r="E138" s="255">
        <v>3.0148453000000002</v>
      </c>
      <c r="F138" s="253">
        <v>55.4</v>
      </c>
      <c r="G138" s="253">
        <v>167.02</v>
      </c>
      <c r="H138" s="253">
        <v>167.02</v>
      </c>
      <c r="I138" s="256">
        <v>8.0000000000000004E-4</v>
      </c>
      <c r="J138" s="257">
        <v>192081.28</v>
      </c>
      <c r="K138" s="256">
        <v>0.95650000000000002</v>
      </c>
    </row>
    <row r="139" spans="1:11" ht="45">
      <c r="A139" s="253">
        <v>39246</v>
      </c>
      <c r="B139" s="253" t="s">
        <v>431</v>
      </c>
      <c r="C139" s="254" t="s">
        <v>1287</v>
      </c>
      <c r="D139" s="253" t="s">
        <v>31</v>
      </c>
      <c r="E139" s="255">
        <v>39.6</v>
      </c>
      <c r="F139" s="253">
        <v>4.16</v>
      </c>
      <c r="G139" s="253">
        <v>164.74</v>
      </c>
      <c r="H139" s="253">
        <v>164.74</v>
      </c>
      <c r="I139" s="256">
        <v>8.0000000000000004E-4</v>
      </c>
      <c r="J139" s="257">
        <v>192246.01</v>
      </c>
      <c r="K139" s="256">
        <v>0.95730000000000004</v>
      </c>
    </row>
    <row r="140" spans="1:11" ht="30">
      <c r="A140" s="253" t="s">
        <v>1682</v>
      </c>
      <c r="B140" s="253" t="s">
        <v>427</v>
      </c>
      <c r="C140" s="254" t="s">
        <v>889</v>
      </c>
      <c r="D140" s="253" t="s">
        <v>476</v>
      </c>
      <c r="E140" s="255">
        <v>10.130000000000001</v>
      </c>
      <c r="F140" s="253">
        <v>16.05</v>
      </c>
      <c r="G140" s="253">
        <v>162.59</v>
      </c>
      <c r="H140" s="253">
        <v>162.59</v>
      </c>
      <c r="I140" s="256">
        <v>8.0000000000000004E-4</v>
      </c>
      <c r="J140" s="257">
        <v>192408.6</v>
      </c>
      <c r="K140" s="256">
        <v>0.95809999999999995</v>
      </c>
    </row>
    <row r="141" spans="1:11">
      <c r="A141" s="253">
        <v>1381</v>
      </c>
      <c r="B141" s="253" t="s">
        <v>431</v>
      </c>
      <c r="C141" s="254" t="s">
        <v>842</v>
      </c>
      <c r="D141" s="253" t="s">
        <v>60</v>
      </c>
      <c r="E141" s="255">
        <v>254.81</v>
      </c>
      <c r="F141" s="253">
        <v>0.63</v>
      </c>
      <c r="G141" s="253">
        <v>160.53</v>
      </c>
      <c r="H141" s="253">
        <v>160.53</v>
      </c>
      <c r="I141" s="256">
        <v>8.0000000000000004E-4</v>
      </c>
      <c r="J141" s="257">
        <v>192569.13</v>
      </c>
      <c r="K141" s="256">
        <v>0.95889999999999997</v>
      </c>
    </row>
    <row r="142" spans="1:11" ht="30">
      <c r="A142" s="253">
        <v>34557</v>
      </c>
      <c r="B142" s="253" t="s">
        <v>431</v>
      </c>
      <c r="C142" s="254" t="s">
        <v>779</v>
      </c>
      <c r="D142" s="253" t="s">
        <v>31</v>
      </c>
      <c r="E142" s="255">
        <v>48.157200000000003</v>
      </c>
      <c r="F142" s="253">
        <v>3.26</v>
      </c>
      <c r="G142" s="253">
        <v>156.99</v>
      </c>
      <c r="H142" s="253">
        <v>156.99</v>
      </c>
      <c r="I142" s="256">
        <v>8.0000000000000004E-4</v>
      </c>
      <c r="J142" s="257">
        <v>192726.12</v>
      </c>
      <c r="K142" s="256">
        <v>0.9597</v>
      </c>
    </row>
    <row r="143" spans="1:11" ht="30">
      <c r="A143" s="253">
        <v>43132</v>
      </c>
      <c r="B143" s="253" t="s">
        <v>431</v>
      </c>
      <c r="C143" s="254" t="s">
        <v>594</v>
      </c>
      <c r="D143" s="253" t="s">
        <v>60</v>
      </c>
      <c r="E143" s="255">
        <v>5.7734801999999998</v>
      </c>
      <c r="F143" s="253">
        <v>26.9</v>
      </c>
      <c r="G143" s="253">
        <v>155.31</v>
      </c>
      <c r="H143" s="253">
        <v>155.31</v>
      </c>
      <c r="I143" s="256">
        <v>8.0000000000000004E-4</v>
      </c>
      <c r="J143" s="257">
        <v>192881.43</v>
      </c>
      <c r="K143" s="256">
        <v>0.96050000000000002</v>
      </c>
    </row>
    <row r="144" spans="1:11" ht="45">
      <c r="A144" s="253" t="s">
        <v>1683</v>
      </c>
      <c r="B144" s="253" t="s">
        <v>427</v>
      </c>
      <c r="C144" s="254" t="s">
        <v>954</v>
      </c>
      <c r="D144" s="253" t="s">
        <v>451</v>
      </c>
      <c r="E144" s="255">
        <v>34.770000000000003</v>
      </c>
      <c r="F144" s="253">
        <v>4.43</v>
      </c>
      <c r="G144" s="253">
        <v>154.03</v>
      </c>
      <c r="H144" s="253">
        <v>154.03</v>
      </c>
      <c r="I144" s="256">
        <v>8.0000000000000004E-4</v>
      </c>
      <c r="J144" s="257">
        <v>193035.46</v>
      </c>
      <c r="K144" s="256">
        <v>0.96120000000000005</v>
      </c>
    </row>
    <row r="145" spans="1:11">
      <c r="A145" s="253" t="s">
        <v>1684</v>
      </c>
      <c r="B145" s="253" t="s">
        <v>427</v>
      </c>
      <c r="C145" s="254" t="s">
        <v>1685</v>
      </c>
      <c r="D145" s="253" t="s">
        <v>1576</v>
      </c>
      <c r="E145" s="255">
        <v>140.61342869999999</v>
      </c>
      <c r="F145" s="253">
        <v>1.0900000000000001</v>
      </c>
      <c r="G145" s="253">
        <v>153.27000000000001</v>
      </c>
      <c r="H145" s="253">
        <v>153.27000000000001</v>
      </c>
      <c r="I145" s="256">
        <v>8.0000000000000004E-4</v>
      </c>
      <c r="J145" s="257">
        <v>193188.73</v>
      </c>
      <c r="K145" s="256">
        <v>0.96199999999999997</v>
      </c>
    </row>
    <row r="146" spans="1:11" ht="30">
      <c r="A146" s="253" t="s">
        <v>1686</v>
      </c>
      <c r="B146" s="253" t="s">
        <v>427</v>
      </c>
      <c r="C146" s="254" t="s">
        <v>1687</v>
      </c>
      <c r="D146" s="253" t="s">
        <v>476</v>
      </c>
      <c r="E146" s="255">
        <v>13.340199999999999</v>
      </c>
      <c r="F146" s="253">
        <v>11.25</v>
      </c>
      <c r="G146" s="253">
        <v>150.08000000000001</v>
      </c>
      <c r="H146" s="253">
        <v>150.08000000000001</v>
      </c>
      <c r="I146" s="256">
        <v>6.9999999999999999E-4</v>
      </c>
      <c r="J146" s="257">
        <v>193338.81</v>
      </c>
      <c r="K146" s="256">
        <v>0.9627</v>
      </c>
    </row>
    <row r="147" spans="1:11">
      <c r="A147" s="253" t="s">
        <v>1688</v>
      </c>
      <c r="B147" s="253" t="s">
        <v>427</v>
      </c>
      <c r="C147" s="254" t="s">
        <v>865</v>
      </c>
      <c r="D147" s="253" t="s">
        <v>472</v>
      </c>
      <c r="E147" s="255">
        <v>43.291499999999999</v>
      </c>
      <c r="F147" s="253">
        <v>3.35</v>
      </c>
      <c r="G147" s="253">
        <v>145.03</v>
      </c>
      <c r="H147" s="253">
        <v>145.03</v>
      </c>
      <c r="I147" s="256">
        <v>6.9999999999999999E-4</v>
      </c>
      <c r="J147" s="257">
        <v>193483.83</v>
      </c>
      <c r="K147" s="256">
        <v>0.96350000000000002</v>
      </c>
    </row>
    <row r="148" spans="1:11">
      <c r="A148" s="253" t="s">
        <v>1689</v>
      </c>
      <c r="B148" s="253" t="s">
        <v>427</v>
      </c>
      <c r="C148" s="254" t="s">
        <v>1690</v>
      </c>
      <c r="D148" s="253" t="s">
        <v>476</v>
      </c>
      <c r="E148" s="255">
        <v>226.91847999999999</v>
      </c>
      <c r="F148" s="253">
        <v>0.61</v>
      </c>
      <c r="G148" s="253">
        <v>138.41999999999999</v>
      </c>
      <c r="H148" s="253">
        <v>138.41999999999999</v>
      </c>
      <c r="I148" s="256">
        <v>6.9999999999999999E-4</v>
      </c>
      <c r="J148" s="257">
        <v>193622.25</v>
      </c>
      <c r="K148" s="256">
        <v>0.96409999999999996</v>
      </c>
    </row>
    <row r="149" spans="1:11">
      <c r="A149" s="253" t="s">
        <v>1691</v>
      </c>
      <c r="B149" s="253" t="s">
        <v>427</v>
      </c>
      <c r="C149" s="254" t="s">
        <v>1692</v>
      </c>
      <c r="D149" s="253" t="s">
        <v>1576</v>
      </c>
      <c r="E149" s="255">
        <v>86.24</v>
      </c>
      <c r="F149" s="253">
        <v>1.5</v>
      </c>
      <c r="G149" s="253">
        <v>129.36000000000001</v>
      </c>
      <c r="H149" s="253">
        <v>129.36000000000001</v>
      </c>
      <c r="I149" s="256">
        <v>5.9999999999999995E-4</v>
      </c>
      <c r="J149" s="257">
        <v>193751.61</v>
      </c>
      <c r="K149" s="256">
        <v>0.96479999999999999</v>
      </c>
    </row>
    <row r="150" spans="1:11" ht="30">
      <c r="A150" s="253">
        <v>34643</v>
      </c>
      <c r="B150" s="253" t="s">
        <v>431</v>
      </c>
      <c r="C150" s="254" t="s">
        <v>1693</v>
      </c>
      <c r="D150" s="253" t="s">
        <v>8</v>
      </c>
      <c r="E150" s="255">
        <v>3</v>
      </c>
      <c r="F150" s="253">
        <v>42.67</v>
      </c>
      <c r="G150" s="253">
        <v>128.01</v>
      </c>
      <c r="H150" s="253">
        <v>128.01</v>
      </c>
      <c r="I150" s="256">
        <v>5.9999999999999995E-4</v>
      </c>
      <c r="J150" s="257">
        <v>193879.62</v>
      </c>
      <c r="K150" s="256">
        <v>0.96540000000000004</v>
      </c>
    </row>
    <row r="151" spans="1:11" ht="30">
      <c r="A151" s="253" t="s">
        <v>1694</v>
      </c>
      <c r="B151" s="253" t="s">
        <v>427</v>
      </c>
      <c r="C151" s="254" t="s">
        <v>1695</v>
      </c>
      <c r="D151" s="253" t="s">
        <v>1576</v>
      </c>
      <c r="E151" s="255">
        <v>86.24</v>
      </c>
      <c r="F151" s="253">
        <v>1.48</v>
      </c>
      <c r="G151" s="253">
        <v>127.64</v>
      </c>
      <c r="H151" s="253">
        <v>127.64</v>
      </c>
      <c r="I151" s="256">
        <v>5.9999999999999995E-4</v>
      </c>
      <c r="J151" s="257">
        <v>194007.26</v>
      </c>
      <c r="K151" s="256">
        <v>0.96609999999999996</v>
      </c>
    </row>
    <row r="152" spans="1:11" ht="30">
      <c r="A152" s="253" t="s">
        <v>1696</v>
      </c>
      <c r="B152" s="253" t="s">
        <v>427</v>
      </c>
      <c r="C152" s="254" t="s">
        <v>988</v>
      </c>
      <c r="D152" s="253" t="s">
        <v>676</v>
      </c>
      <c r="E152" s="255">
        <v>1</v>
      </c>
      <c r="F152" s="253">
        <v>127.2</v>
      </c>
      <c r="G152" s="253">
        <v>127.2</v>
      </c>
      <c r="H152" s="253">
        <v>127.2</v>
      </c>
      <c r="I152" s="256">
        <v>5.9999999999999995E-4</v>
      </c>
      <c r="J152" s="257">
        <v>194134.46</v>
      </c>
      <c r="K152" s="256">
        <v>0.9667</v>
      </c>
    </row>
    <row r="153" spans="1:11" ht="30">
      <c r="A153" s="253">
        <v>367</v>
      </c>
      <c r="B153" s="253" t="s">
        <v>431</v>
      </c>
      <c r="C153" s="254" t="s">
        <v>1697</v>
      </c>
      <c r="D153" s="253" t="s">
        <v>468</v>
      </c>
      <c r="E153" s="255">
        <v>1.5080298999999999</v>
      </c>
      <c r="F153" s="253">
        <v>82.31</v>
      </c>
      <c r="G153" s="253">
        <v>124.13</v>
      </c>
      <c r="H153" s="253">
        <v>124.13</v>
      </c>
      <c r="I153" s="256">
        <v>5.9999999999999995E-4</v>
      </c>
      <c r="J153" s="257">
        <v>194258.58</v>
      </c>
      <c r="K153" s="256">
        <v>0.96730000000000005</v>
      </c>
    </row>
    <row r="154" spans="1:11" ht="30">
      <c r="A154" s="253">
        <v>3517</v>
      </c>
      <c r="B154" s="253" t="s">
        <v>431</v>
      </c>
      <c r="C154" s="254" t="s">
        <v>1172</v>
      </c>
      <c r="D154" s="253" t="s">
        <v>8</v>
      </c>
      <c r="E154" s="255">
        <v>27</v>
      </c>
      <c r="F154" s="253">
        <v>4.5599999999999996</v>
      </c>
      <c r="G154" s="253">
        <v>123.12</v>
      </c>
      <c r="H154" s="253">
        <v>123.12</v>
      </c>
      <c r="I154" s="256">
        <v>5.9999999999999995E-4</v>
      </c>
      <c r="J154" s="257">
        <v>194381.7</v>
      </c>
      <c r="K154" s="256">
        <v>0.96789999999999998</v>
      </c>
    </row>
    <row r="155" spans="1:11" ht="30">
      <c r="A155" s="253" t="s">
        <v>1698</v>
      </c>
      <c r="B155" s="253" t="s">
        <v>427</v>
      </c>
      <c r="C155" s="254" t="s">
        <v>1699</v>
      </c>
      <c r="D155" s="253" t="s">
        <v>1576</v>
      </c>
      <c r="E155" s="255">
        <v>586.0534576</v>
      </c>
      <c r="F155" s="253">
        <v>0.2</v>
      </c>
      <c r="G155" s="253">
        <v>117.21</v>
      </c>
      <c r="H155" s="253">
        <v>117.21</v>
      </c>
      <c r="I155" s="256">
        <v>5.9999999999999995E-4</v>
      </c>
      <c r="J155" s="257">
        <v>194498.92</v>
      </c>
      <c r="K155" s="256">
        <v>0.96850000000000003</v>
      </c>
    </row>
    <row r="156" spans="1:11">
      <c r="A156" s="253" t="s">
        <v>1700</v>
      </c>
      <c r="B156" s="253" t="s">
        <v>427</v>
      </c>
      <c r="C156" s="254" t="s">
        <v>482</v>
      </c>
      <c r="D156" s="253" t="s">
        <v>451</v>
      </c>
      <c r="E156" s="255">
        <v>3.5836000000000001</v>
      </c>
      <c r="F156" s="253">
        <v>32.46</v>
      </c>
      <c r="G156" s="253">
        <v>116.32</v>
      </c>
      <c r="H156" s="253">
        <v>116.32</v>
      </c>
      <c r="I156" s="256">
        <v>5.9999999999999995E-4</v>
      </c>
      <c r="J156" s="257">
        <v>194615.24</v>
      </c>
      <c r="K156" s="256">
        <v>0.96909999999999996</v>
      </c>
    </row>
    <row r="157" spans="1:11" ht="30">
      <c r="A157" s="253">
        <v>442</v>
      </c>
      <c r="B157" s="253" t="s">
        <v>431</v>
      </c>
      <c r="C157" s="254" t="s">
        <v>634</v>
      </c>
      <c r="D157" s="253" t="s">
        <v>8</v>
      </c>
      <c r="E157" s="255">
        <v>28.558979999999998</v>
      </c>
      <c r="F157" s="253">
        <v>4.05</v>
      </c>
      <c r="G157" s="253">
        <v>115.66</v>
      </c>
      <c r="H157" s="253">
        <v>115.66</v>
      </c>
      <c r="I157" s="256">
        <v>5.9999999999999995E-4</v>
      </c>
      <c r="J157" s="257">
        <v>194730.9</v>
      </c>
      <c r="K157" s="256">
        <v>0.96970000000000001</v>
      </c>
    </row>
    <row r="158" spans="1:11" ht="30">
      <c r="A158" s="253" t="s">
        <v>1701</v>
      </c>
      <c r="B158" s="253" t="s">
        <v>427</v>
      </c>
      <c r="C158" s="254" t="s">
        <v>1702</v>
      </c>
      <c r="D158" s="253" t="s">
        <v>1576</v>
      </c>
      <c r="E158" s="255">
        <v>91.718257600000001</v>
      </c>
      <c r="F158" s="253">
        <v>1.26</v>
      </c>
      <c r="G158" s="253">
        <v>115.57</v>
      </c>
      <c r="H158" s="253">
        <v>115.57</v>
      </c>
      <c r="I158" s="256">
        <v>5.9999999999999995E-4</v>
      </c>
      <c r="J158" s="257">
        <v>194846.47</v>
      </c>
      <c r="K158" s="256">
        <v>0.97019999999999995</v>
      </c>
    </row>
    <row r="159" spans="1:11" ht="30">
      <c r="A159" s="253">
        <v>40549</v>
      </c>
      <c r="B159" s="253" t="s">
        <v>431</v>
      </c>
      <c r="C159" s="254" t="s">
        <v>654</v>
      </c>
      <c r="D159" s="253" t="s">
        <v>655</v>
      </c>
      <c r="E159" s="255">
        <v>0.45324999999999999</v>
      </c>
      <c r="F159" s="253">
        <v>240.75</v>
      </c>
      <c r="G159" s="253">
        <v>109.12</v>
      </c>
      <c r="H159" s="253">
        <v>109.12</v>
      </c>
      <c r="I159" s="256">
        <v>5.0000000000000001E-4</v>
      </c>
      <c r="J159" s="257">
        <v>194955.59</v>
      </c>
      <c r="K159" s="256">
        <v>0.9708</v>
      </c>
    </row>
    <row r="160" spans="1:11" ht="30">
      <c r="A160" s="253" t="s">
        <v>1703</v>
      </c>
      <c r="B160" s="253" t="s">
        <v>427</v>
      </c>
      <c r="C160" s="254" t="s">
        <v>475</v>
      </c>
      <c r="D160" s="253" t="s">
        <v>476</v>
      </c>
      <c r="E160" s="255">
        <v>9.6364000000000001</v>
      </c>
      <c r="F160" s="253">
        <v>11.22</v>
      </c>
      <c r="G160" s="253">
        <v>108.12</v>
      </c>
      <c r="H160" s="253">
        <v>108.12</v>
      </c>
      <c r="I160" s="256">
        <v>5.0000000000000001E-4</v>
      </c>
      <c r="J160" s="257">
        <v>195063.71</v>
      </c>
      <c r="K160" s="256">
        <v>0.97130000000000005</v>
      </c>
    </row>
    <row r="161" spans="1:11" ht="30">
      <c r="A161" s="253" t="s">
        <v>1704</v>
      </c>
      <c r="B161" s="253" t="s">
        <v>427</v>
      </c>
      <c r="C161" s="254" t="s">
        <v>1705</v>
      </c>
      <c r="D161" s="253" t="s">
        <v>476</v>
      </c>
      <c r="E161" s="255">
        <v>36.569512799999998</v>
      </c>
      <c r="F161" s="253">
        <v>2.9</v>
      </c>
      <c r="G161" s="253">
        <v>106.05</v>
      </c>
      <c r="H161" s="253">
        <v>106.05</v>
      </c>
      <c r="I161" s="256">
        <v>5.0000000000000001E-4</v>
      </c>
      <c r="J161" s="257">
        <v>195169.76</v>
      </c>
      <c r="K161" s="256">
        <v>0.9718</v>
      </c>
    </row>
    <row r="162" spans="1:11" ht="30">
      <c r="A162" s="253" t="s">
        <v>1706</v>
      </c>
      <c r="B162" s="253" t="s">
        <v>427</v>
      </c>
      <c r="C162" s="254" t="s">
        <v>1707</v>
      </c>
      <c r="D162" s="253" t="s">
        <v>1576</v>
      </c>
      <c r="E162" s="255">
        <v>140.61342869999999</v>
      </c>
      <c r="F162" s="253">
        <v>0.74</v>
      </c>
      <c r="G162" s="253">
        <v>104.05</v>
      </c>
      <c r="H162" s="253">
        <v>104.05</v>
      </c>
      <c r="I162" s="256">
        <v>5.0000000000000001E-4</v>
      </c>
      <c r="J162" s="257">
        <v>195273.81</v>
      </c>
      <c r="K162" s="256">
        <v>0.97240000000000004</v>
      </c>
    </row>
    <row r="163" spans="1:11">
      <c r="A163" s="253">
        <v>6114</v>
      </c>
      <c r="B163" s="253" t="s">
        <v>431</v>
      </c>
      <c r="C163" s="254" t="s">
        <v>1708</v>
      </c>
      <c r="D163" s="253" t="s">
        <v>520</v>
      </c>
      <c r="E163" s="255">
        <v>8.4960722999999998</v>
      </c>
      <c r="F163" s="253">
        <v>12.07</v>
      </c>
      <c r="G163" s="253">
        <v>102.55</v>
      </c>
      <c r="H163" s="253">
        <v>102.55</v>
      </c>
      <c r="I163" s="256">
        <v>5.0000000000000001E-4</v>
      </c>
      <c r="J163" s="257">
        <v>195376.36</v>
      </c>
      <c r="K163" s="256">
        <v>0.97289999999999999</v>
      </c>
    </row>
    <row r="164" spans="1:11">
      <c r="A164" s="253" t="s">
        <v>1709</v>
      </c>
      <c r="B164" s="253" t="s">
        <v>427</v>
      </c>
      <c r="C164" s="254" t="s">
        <v>1710</v>
      </c>
      <c r="D164" s="253" t="s">
        <v>1576</v>
      </c>
      <c r="E164" s="255">
        <v>93.264720499999996</v>
      </c>
      <c r="F164" s="253">
        <v>1.0900000000000001</v>
      </c>
      <c r="G164" s="253">
        <v>101.66</v>
      </c>
      <c r="H164" s="253">
        <v>101.66</v>
      </c>
      <c r="I164" s="256">
        <v>5.0000000000000001E-4</v>
      </c>
      <c r="J164" s="257">
        <v>195478.02</v>
      </c>
      <c r="K164" s="256">
        <v>0.97340000000000004</v>
      </c>
    </row>
    <row r="165" spans="1:11">
      <c r="A165" s="253" t="s">
        <v>1711</v>
      </c>
      <c r="B165" s="253" t="s">
        <v>427</v>
      </c>
      <c r="C165" s="254" t="s">
        <v>1712</v>
      </c>
      <c r="D165" s="253" t="s">
        <v>520</v>
      </c>
      <c r="E165" s="255">
        <v>7.84</v>
      </c>
      <c r="F165" s="253">
        <v>12.93</v>
      </c>
      <c r="G165" s="253">
        <v>101.37</v>
      </c>
      <c r="H165" s="253">
        <v>101.37</v>
      </c>
      <c r="I165" s="256">
        <v>5.0000000000000001E-4</v>
      </c>
      <c r="J165" s="257">
        <v>195579.39</v>
      </c>
      <c r="K165" s="256">
        <v>0.97389999999999999</v>
      </c>
    </row>
    <row r="166" spans="1:11">
      <c r="A166" s="253">
        <v>4221</v>
      </c>
      <c r="B166" s="253" t="s">
        <v>431</v>
      </c>
      <c r="C166" s="254" t="s">
        <v>1713</v>
      </c>
      <c r="D166" s="253" t="s">
        <v>816</v>
      </c>
      <c r="E166" s="255">
        <v>18.142923799999998</v>
      </c>
      <c r="F166" s="253">
        <v>5.58</v>
      </c>
      <c r="G166" s="253">
        <v>101.24</v>
      </c>
      <c r="H166" s="253">
        <v>101.24</v>
      </c>
      <c r="I166" s="256">
        <v>5.0000000000000001E-4</v>
      </c>
      <c r="J166" s="257">
        <v>195680.63</v>
      </c>
      <c r="K166" s="256">
        <v>0.97440000000000004</v>
      </c>
    </row>
    <row r="167" spans="1:11" ht="45">
      <c r="A167" s="253" t="s">
        <v>1714</v>
      </c>
      <c r="B167" s="253" t="s">
        <v>427</v>
      </c>
      <c r="C167" s="254" t="s">
        <v>995</v>
      </c>
      <c r="D167" s="253" t="s">
        <v>676</v>
      </c>
      <c r="E167" s="255">
        <v>5</v>
      </c>
      <c r="F167" s="253">
        <v>19.97</v>
      </c>
      <c r="G167" s="253">
        <v>99.85</v>
      </c>
      <c r="H167" s="253">
        <v>99.85</v>
      </c>
      <c r="I167" s="256">
        <v>5.0000000000000001E-4</v>
      </c>
      <c r="J167" s="257">
        <v>195780.48000000001</v>
      </c>
      <c r="K167" s="256">
        <v>0.97489999999999999</v>
      </c>
    </row>
    <row r="168" spans="1:11">
      <c r="A168" s="253">
        <v>34653</v>
      </c>
      <c r="B168" s="253" t="s">
        <v>431</v>
      </c>
      <c r="C168" s="254" t="s">
        <v>1715</v>
      </c>
      <c r="D168" s="253" t="s">
        <v>8</v>
      </c>
      <c r="E168" s="255">
        <v>6</v>
      </c>
      <c r="F168" s="253">
        <v>16.239999999999998</v>
      </c>
      <c r="G168" s="253">
        <v>97.44</v>
      </c>
      <c r="H168" s="253">
        <v>97.44</v>
      </c>
      <c r="I168" s="256">
        <v>5.0000000000000001E-4</v>
      </c>
      <c r="J168" s="257">
        <v>195877.92</v>
      </c>
      <c r="K168" s="256">
        <v>0.97540000000000004</v>
      </c>
    </row>
    <row r="169" spans="1:11" ht="30">
      <c r="A169" s="253">
        <v>6005</v>
      </c>
      <c r="B169" s="253" t="s">
        <v>431</v>
      </c>
      <c r="C169" s="254" t="s">
        <v>1222</v>
      </c>
      <c r="D169" s="253" t="s">
        <v>8</v>
      </c>
      <c r="E169" s="255">
        <v>1</v>
      </c>
      <c r="F169" s="253">
        <v>96.18</v>
      </c>
      <c r="G169" s="253">
        <v>96.18</v>
      </c>
      <c r="H169" s="253">
        <v>96.18</v>
      </c>
      <c r="I169" s="256">
        <v>5.0000000000000001E-4</v>
      </c>
      <c r="J169" s="257">
        <v>195974.1</v>
      </c>
      <c r="K169" s="256">
        <v>0.97589999999999999</v>
      </c>
    </row>
    <row r="170" spans="1:11" ht="30">
      <c r="A170" s="253">
        <v>11677</v>
      </c>
      <c r="B170" s="253" t="s">
        <v>431</v>
      </c>
      <c r="C170" s="254" t="s">
        <v>1196</v>
      </c>
      <c r="D170" s="253" t="s">
        <v>8</v>
      </c>
      <c r="E170" s="255">
        <v>2</v>
      </c>
      <c r="F170" s="253">
        <v>47.88</v>
      </c>
      <c r="G170" s="253">
        <v>95.76</v>
      </c>
      <c r="H170" s="253">
        <v>95.76</v>
      </c>
      <c r="I170" s="256">
        <v>5.0000000000000001E-4</v>
      </c>
      <c r="J170" s="257">
        <v>196069.86</v>
      </c>
      <c r="K170" s="256">
        <v>0.97629999999999995</v>
      </c>
    </row>
    <row r="171" spans="1:11">
      <c r="A171" s="253" t="s">
        <v>1716</v>
      </c>
      <c r="B171" s="253" t="s">
        <v>427</v>
      </c>
      <c r="C171" s="254" t="s">
        <v>608</v>
      </c>
      <c r="D171" s="253" t="s">
        <v>451</v>
      </c>
      <c r="E171" s="255">
        <v>108.71048999999999</v>
      </c>
      <c r="F171" s="253">
        <v>0.84</v>
      </c>
      <c r="G171" s="253">
        <v>91.32</v>
      </c>
      <c r="H171" s="253">
        <v>91.32</v>
      </c>
      <c r="I171" s="256">
        <v>5.0000000000000001E-4</v>
      </c>
      <c r="J171" s="257">
        <v>196161.18</v>
      </c>
      <c r="K171" s="256">
        <v>0.9768</v>
      </c>
    </row>
    <row r="172" spans="1:11" ht="30">
      <c r="A172" s="253" t="s">
        <v>1717</v>
      </c>
      <c r="B172" s="253" t="s">
        <v>427</v>
      </c>
      <c r="C172" s="254" t="s">
        <v>675</v>
      </c>
      <c r="D172" s="253" t="s">
        <v>676</v>
      </c>
      <c r="E172" s="255">
        <v>29.4</v>
      </c>
      <c r="F172" s="253">
        <v>3.06</v>
      </c>
      <c r="G172" s="253">
        <v>89.96</v>
      </c>
      <c r="H172" s="253">
        <v>89.96</v>
      </c>
      <c r="I172" s="256">
        <v>4.0000000000000002E-4</v>
      </c>
      <c r="J172" s="257">
        <v>196251.14</v>
      </c>
      <c r="K172" s="256">
        <v>0.97719999999999996</v>
      </c>
    </row>
    <row r="173" spans="1:11">
      <c r="A173" s="253">
        <v>44503</v>
      </c>
      <c r="B173" s="253" t="s">
        <v>431</v>
      </c>
      <c r="C173" s="254" t="s">
        <v>1718</v>
      </c>
      <c r="D173" s="253" t="s">
        <v>520</v>
      </c>
      <c r="E173" s="255">
        <v>5.7131011000000003</v>
      </c>
      <c r="F173" s="253">
        <v>15.53</v>
      </c>
      <c r="G173" s="253">
        <v>88.72</v>
      </c>
      <c r="H173" s="253">
        <v>88.72</v>
      </c>
      <c r="I173" s="256">
        <v>4.0000000000000002E-4</v>
      </c>
      <c r="J173" s="257">
        <v>196339.86</v>
      </c>
      <c r="K173" s="256">
        <v>0.97770000000000001</v>
      </c>
    </row>
    <row r="174" spans="1:11" ht="30">
      <c r="A174" s="253" t="s">
        <v>1719</v>
      </c>
      <c r="B174" s="253" t="s">
        <v>427</v>
      </c>
      <c r="C174" s="254" t="s">
        <v>1355</v>
      </c>
      <c r="D174" s="253" t="s">
        <v>472</v>
      </c>
      <c r="E174" s="255">
        <v>10.5</v>
      </c>
      <c r="F174" s="253">
        <v>8.31</v>
      </c>
      <c r="G174" s="253">
        <v>87.26</v>
      </c>
      <c r="H174" s="253">
        <v>87.26</v>
      </c>
      <c r="I174" s="256">
        <v>4.0000000000000002E-4</v>
      </c>
      <c r="J174" s="257">
        <v>196427.12</v>
      </c>
      <c r="K174" s="256">
        <v>0.97809999999999997</v>
      </c>
    </row>
    <row r="175" spans="1:11" ht="30">
      <c r="A175" s="253">
        <v>43484</v>
      </c>
      <c r="B175" s="253" t="s">
        <v>431</v>
      </c>
      <c r="C175" s="254" t="s">
        <v>1720</v>
      </c>
      <c r="D175" s="253" t="s">
        <v>520</v>
      </c>
      <c r="E175" s="253">
        <v>80.753</v>
      </c>
      <c r="F175" s="253">
        <v>1.07</v>
      </c>
      <c r="G175" s="253">
        <v>86.41</v>
      </c>
      <c r="H175" s="253">
        <v>86.41</v>
      </c>
      <c r="I175" s="256">
        <v>4.0000000000000002E-4</v>
      </c>
      <c r="J175" s="257">
        <v>196513.52</v>
      </c>
      <c r="K175" s="256">
        <v>0.97850000000000004</v>
      </c>
    </row>
    <row r="176" spans="1:11" ht="30">
      <c r="A176" s="253">
        <v>10425</v>
      </c>
      <c r="B176" s="253" t="s">
        <v>431</v>
      </c>
      <c r="C176" s="254" t="s">
        <v>1721</v>
      </c>
      <c r="D176" s="253" t="s">
        <v>8</v>
      </c>
      <c r="E176" s="255">
        <v>1</v>
      </c>
      <c r="F176" s="253">
        <v>86.02</v>
      </c>
      <c r="G176" s="253">
        <v>86.02</v>
      </c>
      <c r="H176" s="253">
        <v>86.02</v>
      </c>
      <c r="I176" s="256">
        <v>4.0000000000000002E-4</v>
      </c>
      <c r="J176" s="257">
        <v>196599.54</v>
      </c>
      <c r="K176" s="256">
        <v>0.97899999999999998</v>
      </c>
    </row>
    <row r="177" spans="1:11" ht="30">
      <c r="A177" s="253" t="s">
        <v>1722</v>
      </c>
      <c r="B177" s="253" t="s">
        <v>427</v>
      </c>
      <c r="C177" s="254" t="s">
        <v>505</v>
      </c>
      <c r="D177" s="253" t="s">
        <v>451</v>
      </c>
      <c r="E177" s="255">
        <v>2.6183999999999998</v>
      </c>
      <c r="F177" s="253">
        <v>31.75</v>
      </c>
      <c r="G177" s="253">
        <v>83.13</v>
      </c>
      <c r="H177" s="253">
        <v>83.13</v>
      </c>
      <c r="I177" s="256">
        <v>4.0000000000000002E-4</v>
      </c>
      <c r="J177" s="257">
        <v>196682.68</v>
      </c>
      <c r="K177" s="256">
        <v>0.97940000000000005</v>
      </c>
    </row>
    <row r="178" spans="1:11" ht="60">
      <c r="A178" s="253" t="s">
        <v>1723</v>
      </c>
      <c r="B178" s="253" t="s">
        <v>427</v>
      </c>
      <c r="C178" s="254" t="s">
        <v>1724</v>
      </c>
      <c r="D178" s="253" t="s">
        <v>676</v>
      </c>
      <c r="E178" s="255">
        <v>0.53924399999999995</v>
      </c>
      <c r="F178" s="253">
        <v>151.5</v>
      </c>
      <c r="G178" s="253">
        <v>81.7</v>
      </c>
      <c r="H178" s="253">
        <v>81.7</v>
      </c>
      <c r="I178" s="256">
        <v>4.0000000000000002E-4</v>
      </c>
      <c r="J178" s="257">
        <v>196764.37</v>
      </c>
      <c r="K178" s="256">
        <v>0.9798</v>
      </c>
    </row>
    <row r="179" spans="1:11">
      <c r="A179" s="253" t="s">
        <v>1725</v>
      </c>
      <c r="B179" s="253" t="s">
        <v>427</v>
      </c>
      <c r="C179" s="254" t="s">
        <v>1726</v>
      </c>
      <c r="D179" s="253" t="s">
        <v>1576</v>
      </c>
      <c r="E179" s="255">
        <v>1349.0697903</v>
      </c>
      <c r="F179" s="253">
        <v>0.06</v>
      </c>
      <c r="G179" s="253">
        <v>80.94</v>
      </c>
      <c r="H179" s="253">
        <v>80.94</v>
      </c>
      <c r="I179" s="256">
        <v>4.0000000000000002E-4</v>
      </c>
      <c r="J179" s="257">
        <v>196845.32</v>
      </c>
      <c r="K179" s="256">
        <v>0.98019999999999996</v>
      </c>
    </row>
    <row r="180" spans="1:11" ht="30">
      <c r="A180" s="253" t="s">
        <v>1727</v>
      </c>
      <c r="B180" s="253" t="s">
        <v>427</v>
      </c>
      <c r="C180" s="254" t="s">
        <v>893</v>
      </c>
      <c r="D180" s="253" t="s">
        <v>476</v>
      </c>
      <c r="E180" s="255">
        <v>4.4572000000000003</v>
      </c>
      <c r="F180" s="253">
        <v>17.55</v>
      </c>
      <c r="G180" s="253">
        <v>78.22</v>
      </c>
      <c r="H180" s="253">
        <v>78.22</v>
      </c>
      <c r="I180" s="256">
        <v>4.0000000000000002E-4</v>
      </c>
      <c r="J180" s="257">
        <v>196923.54</v>
      </c>
      <c r="K180" s="256">
        <v>0.98060000000000003</v>
      </c>
    </row>
    <row r="181" spans="1:11">
      <c r="A181" s="253">
        <v>38383</v>
      </c>
      <c r="B181" s="253" t="s">
        <v>431</v>
      </c>
      <c r="C181" s="254" t="s">
        <v>1030</v>
      </c>
      <c r="D181" s="253" t="s">
        <v>8</v>
      </c>
      <c r="E181" s="255">
        <v>37.229093599999999</v>
      </c>
      <c r="F181" s="253">
        <v>2.06</v>
      </c>
      <c r="G181" s="253">
        <v>76.69</v>
      </c>
      <c r="H181" s="253">
        <v>76.69</v>
      </c>
      <c r="I181" s="256">
        <v>4.0000000000000002E-4</v>
      </c>
      <c r="J181" s="257">
        <v>197000.23</v>
      </c>
      <c r="K181" s="256">
        <v>0.98099999999999998</v>
      </c>
    </row>
    <row r="182" spans="1:11" ht="30">
      <c r="A182" s="253">
        <v>43461</v>
      </c>
      <c r="B182" s="253" t="s">
        <v>431</v>
      </c>
      <c r="C182" s="254" t="s">
        <v>1728</v>
      </c>
      <c r="D182" s="253" t="s">
        <v>520</v>
      </c>
      <c r="E182" s="255">
        <v>237.55638070000001</v>
      </c>
      <c r="F182" s="253">
        <v>0.32</v>
      </c>
      <c r="G182" s="253">
        <v>76.02</v>
      </c>
      <c r="H182" s="253">
        <v>76.02</v>
      </c>
      <c r="I182" s="256">
        <v>4.0000000000000002E-4</v>
      </c>
      <c r="J182" s="257">
        <v>197076.25</v>
      </c>
      <c r="K182" s="256">
        <v>0.98129999999999995</v>
      </c>
    </row>
    <row r="183" spans="1:11">
      <c r="A183" s="253" t="s">
        <v>1729</v>
      </c>
      <c r="B183" s="253" t="s">
        <v>427</v>
      </c>
      <c r="C183" s="254" t="s">
        <v>1730</v>
      </c>
      <c r="D183" s="253" t="s">
        <v>1576</v>
      </c>
      <c r="E183" s="253">
        <v>99.98</v>
      </c>
      <c r="F183" s="253">
        <v>0.76</v>
      </c>
      <c r="G183" s="253">
        <v>75.98</v>
      </c>
      <c r="H183" s="253">
        <v>75.98</v>
      </c>
      <c r="I183" s="256">
        <v>4.0000000000000002E-4</v>
      </c>
      <c r="J183" s="257">
        <v>197152.24</v>
      </c>
      <c r="K183" s="256">
        <v>0.98170000000000002</v>
      </c>
    </row>
    <row r="184" spans="1:11" ht="30">
      <c r="A184" s="253">
        <v>43475</v>
      </c>
      <c r="B184" s="253" t="s">
        <v>431</v>
      </c>
      <c r="C184" s="254" t="s">
        <v>445</v>
      </c>
      <c r="D184" s="253" t="s">
        <v>433</v>
      </c>
      <c r="E184" s="255">
        <v>4</v>
      </c>
      <c r="F184" s="253">
        <v>18.579999999999998</v>
      </c>
      <c r="G184" s="253">
        <v>74.319999999999993</v>
      </c>
      <c r="H184" s="253">
        <v>74.319999999999993</v>
      </c>
      <c r="I184" s="256">
        <v>4.0000000000000002E-4</v>
      </c>
      <c r="J184" s="257">
        <v>197226.56</v>
      </c>
      <c r="K184" s="256">
        <v>0.98209999999999997</v>
      </c>
    </row>
    <row r="185" spans="1:11" ht="30">
      <c r="A185" s="253">
        <v>3519</v>
      </c>
      <c r="B185" s="253" t="s">
        <v>431</v>
      </c>
      <c r="C185" s="254" t="s">
        <v>1211</v>
      </c>
      <c r="D185" s="253" t="s">
        <v>8</v>
      </c>
      <c r="E185" s="255">
        <v>8</v>
      </c>
      <c r="F185" s="253">
        <v>9.24</v>
      </c>
      <c r="G185" s="253">
        <v>73.92</v>
      </c>
      <c r="H185" s="253">
        <v>73.92</v>
      </c>
      <c r="I185" s="256">
        <v>4.0000000000000002E-4</v>
      </c>
      <c r="J185" s="257">
        <v>197300.48000000001</v>
      </c>
      <c r="K185" s="256">
        <v>0.98250000000000004</v>
      </c>
    </row>
    <row r="186" spans="1:11">
      <c r="A186" s="253">
        <v>37373</v>
      </c>
      <c r="B186" s="253" t="s">
        <v>431</v>
      </c>
      <c r="C186" s="254" t="s">
        <v>1731</v>
      </c>
      <c r="D186" s="253" t="s">
        <v>520</v>
      </c>
      <c r="E186" s="255">
        <v>1217.2826554000001</v>
      </c>
      <c r="F186" s="253">
        <v>0.06</v>
      </c>
      <c r="G186" s="253">
        <v>73.040000000000006</v>
      </c>
      <c r="H186" s="253">
        <v>73.040000000000006</v>
      </c>
      <c r="I186" s="256">
        <v>4.0000000000000002E-4</v>
      </c>
      <c r="J186" s="257">
        <v>197373.51</v>
      </c>
      <c r="K186" s="256">
        <v>0.98280000000000001</v>
      </c>
    </row>
    <row r="187" spans="1:11">
      <c r="A187" s="253" t="s">
        <v>1732</v>
      </c>
      <c r="B187" s="253" t="s">
        <v>427</v>
      </c>
      <c r="C187" s="254" t="s">
        <v>1733</v>
      </c>
      <c r="D187" s="253" t="s">
        <v>476</v>
      </c>
      <c r="E187" s="255">
        <v>9.3581400000000006</v>
      </c>
      <c r="F187" s="253">
        <v>7.64</v>
      </c>
      <c r="G187" s="253">
        <v>71.5</v>
      </c>
      <c r="H187" s="253">
        <v>71.5</v>
      </c>
      <c r="I187" s="256">
        <v>4.0000000000000002E-4</v>
      </c>
      <c r="J187" s="257">
        <v>197445.01</v>
      </c>
      <c r="K187" s="256">
        <v>0.98319999999999996</v>
      </c>
    </row>
    <row r="188" spans="1:11">
      <c r="A188" s="253" t="s">
        <v>1734</v>
      </c>
      <c r="B188" s="253" t="s">
        <v>427</v>
      </c>
      <c r="C188" s="254" t="s">
        <v>1735</v>
      </c>
      <c r="D188" s="253" t="s">
        <v>520</v>
      </c>
      <c r="E188" s="255">
        <v>3.87</v>
      </c>
      <c r="F188" s="253">
        <v>17.920000000000002</v>
      </c>
      <c r="G188" s="253">
        <v>69.349999999999994</v>
      </c>
      <c r="H188" s="253">
        <v>69.349999999999994</v>
      </c>
      <c r="I188" s="256">
        <v>2.9999999999999997E-4</v>
      </c>
      <c r="J188" s="257">
        <v>197514.36</v>
      </c>
      <c r="K188" s="256">
        <v>0.98350000000000004</v>
      </c>
    </row>
    <row r="189" spans="1:11" ht="30">
      <c r="A189" s="253" t="s">
        <v>1736</v>
      </c>
      <c r="B189" s="253" t="s">
        <v>427</v>
      </c>
      <c r="C189" s="254" t="s">
        <v>1737</v>
      </c>
      <c r="D189" s="253" t="s">
        <v>1576</v>
      </c>
      <c r="E189" s="255">
        <v>93.264720499999996</v>
      </c>
      <c r="F189" s="253">
        <v>0.74</v>
      </c>
      <c r="G189" s="253">
        <v>69.02</v>
      </c>
      <c r="H189" s="253">
        <v>69.02</v>
      </c>
      <c r="I189" s="256">
        <v>2.9999999999999997E-4</v>
      </c>
      <c r="J189" s="257">
        <v>197583.38</v>
      </c>
      <c r="K189" s="256">
        <v>0.9839</v>
      </c>
    </row>
    <row r="190" spans="1:11">
      <c r="A190" s="253">
        <v>38101</v>
      </c>
      <c r="B190" s="253" t="s">
        <v>431</v>
      </c>
      <c r="C190" s="254" t="s">
        <v>1738</v>
      </c>
      <c r="D190" s="253" t="s">
        <v>8</v>
      </c>
      <c r="E190" s="255">
        <v>9</v>
      </c>
      <c r="F190" s="253">
        <v>7.6</v>
      </c>
      <c r="G190" s="253">
        <v>68.400000000000006</v>
      </c>
      <c r="H190" s="253">
        <v>68.400000000000006</v>
      </c>
      <c r="I190" s="256">
        <v>2.9999999999999997E-4</v>
      </c>
      <c r="J190" s="257">
        <v>197651.78</v>
      </c>
      <c r="K190" s="256">
        <v>0.98419999999999996</v>
      </c>
    </row>
    <row r="191" spans="1:11" ht="45">
      <c r="A191" s="253" t="s">
        <v>1739</v>
      </c>
      <c r="B191" s="253" t="s">
        <v>427</v>
      </c>
      <c r="C191" s="254" t="s">
        <v>454</v>
      </c>
      <c r="D191" s="253" t="s">
        <v>451</v>
      </c>
      <c r="E191" s="255">
        <v>2.2000000000000002</v>
      </c>
      <c r="F191" s="253">
        <v>30.97</v>
      </c>
      <c r="G191" s="253">
        <v>68.13</v>
      </c>
      <c r="H191" s="253">
        <v>68.13</v>
      </c>
      <c r="I191" s="256">
        <v>2.9999999999999997E-4</v>
      </c>
      <c r="J191" s="257">
        <v>197719.91</v>
      </c>
      <c r="K191" s="256">
        <v>0.98450000000000004</v>
      </c>
    </row>
    <row r="192" spans="1:11" ht="30">
      <c r="A192" s="253">
        <v>3898</v>
      </c>
      <c r="B192" s="253" t="s">
        <v>431</v>
      </c>
      <c r="C192" s="254" t="s">
        <v>1207</v>
      </c>
      <c r="D192" s="253" t="s">
        <v>8</v>
      </c>
      <c r="E192" s="255">
        <v>10</v>
      </c>
      <c r="F192" s="253">
        <v>6.81</v>
      </c>
      <c r="G192" s="253">
        <v>68.099999999999994</v>
      </c>
      <c r="H192" s="253">
        <v>68.099999999999994</v>
      </c>
      <c r="I192" s="256">
        <v>2.9999999999999997E-4</v>
      </c>
      <c r="J192" s="257">
        <v>197788.01</v>
      </c>
      <c r="K192" s="256">
        <v>0.9849</v>
      </c>
    </row>
    <row r="193" spans="1:11" ht="30">
      <c r="A193" s="253">
        <v>20169</v>
      </c>
      <c r="B193" s="253" t="s">
        <v>431</v>
      </c>
      <c r="C193" s="254" t="s">
        <v>1740</v>
      </c>
      <c r="D193" s="253" t="s">
        <v>8</v>
      </c>
      <c r="E193" s="255">
        <v>4.4541120000000003</v>
      </c>
      <c r="F193" s="253">
        <v>14.92</v>
      </c>
      <c r="G193" s="253">
        <v>66.459999999999994</v>
      </c>
      <c r="H193" s="253">
        <v>66.459999999999994</v>
      </c>
      <c r="I193" s="256">
        <v>2.9999999999999997E-4</v>
      </c>
      <c r="J193" s="257">
        <v>197854.47</v>
      </c>
      <c r="K193" s="256">
        <v>0.98519999999999996</v>
      </c>
    </row>
    <row r="194" spans="1:11" ht="30">
      <c r="A194" s="253">
        <v>7116</v>
      </c>
      <c r="B194" s="253" t="s">
        <v>431</v>
      </c>
      <c r="C194" s="254" t="s">
        <v>1160</v>
      </c>
      <c r="D194" s="253" t="s">
        <v>8</v>
      </c>
      <c r="E194" s="255">
        <v>15</v>
      </c>
      <c r="F194" s="253">
        <v>4.2300000000000004</v>
      </c>
      <c r="G194" s="253">
        <v>63.45</v>
      </c>
      <c r="H194" s="253">
        <v>63.45</v>
      </c>
      <c r="I194" s="256">
        <v>2.9999999999999997E-4</v>
      </c>
      <c r="J194" s="257">
        <v>197917.92</v>
      </c>
      <c r="K194" s="256">
        <v>0.98550000000000004</v>
      </c>
    </row>
    <row r="195" spans="1:11" ht="30">
      <c r="A195" s="253">
        <v>20147</v>
      </c>
      <c r="B195" s="253" t="s">
        <v>431</v>
      </c>
      <c r="C195" s="254" t="s">
        <v>1216</v>
      </c>
      <c r="D195" s="253" t="s">
        <v>8</v>
      </c>
      <c r="E195" s="255">
        <v>7</v>
      </c>
      <c r="F195" s="253">
        <v>9.02</v>
      </c>
      <c r="G195" s="253">
        <v>63.14</v>
      </c>
      <c r="H195" s="253">
        <v>63.14</v>
      </c>
      <c r="I195" s="256">
        <v>2.9999999999999997E-4</v>
      </c>
      <c r="J195" s="257">
        <v>197981.06</v>
      </c>
      <c r="K195" s="256">
        <v>0.98580000000000001</v>
      </c>
    </row>
    <row r="196" spans="1:11" ht="30">
      <c r="A196" s="253">
        <v>43460</v>
      </c>
      <c r="B196" s="253" t="s">
        <v>431</v>
      </c>
      <c r="C196" s="254" t="s">
        <v>1741</v>
      </c>
      <c r="D196" s="253" t="s">
        <v>520</v>
      </c>
      <c r="E196" s="255">
        <v>80.753</v>
      </c>
      <c r="F196" s="253">
        <v>0.78</v>
      </c>
      <c r="G196" s="253">
        <v>62.99</v>
      </c>
      <c r="H196" s="253">
        <v>62.99</v>
      </c>
      <c r="I196" s="256">
        <v>2.9999999999999997E-4</v>
      </c>
      <c r="J196" s="257">
        <v>198044.04</v>
      </c>
      <c r="K196" s="256">
        <v>0.98619999999999997</v>
      </c>
    </row>
    <row r="197" spans="1:11">
      <c r="A197" s="253" t="s">
        <v>1742</v>
      </c>
      <c r="B197" s="253" t="s">
        <v>427</v>
      </c>
      <c r="C197" s="254" t="s">
        <v>680</v>
      </c>
      <c r="D197" s="253" t="s">
        <v>671</v>
      </c>
      <c r="E197" s="255">
        <v>5.2442736999999999</v>
      </c>
      <c r="F197" s="253">
        <v>11.47</v>
      </c>
      <c r="G197" s="253">
        <v>60.15</v>
      </c>
      <c r="H197" s="253">
        <v>60.15</v>
      </c>
      <c r="I197" s="256">
        <v>2.9999999999999997E-4</v>
      </c>
      <c r="J197" s="257">
        <v>198104.2</v>
      </c>
      <c r="K197" s="256">
        <v>0.98650000000000004</v>
      </c>
    </row>
    <row r="198" spans="1:11" ht="45">
      <c r="A198" s="253" t="s">
        <v>1743</v>
      </c>
      <c r="B198" s="253" t="s">
        <v>427</v>
      </c>
      <c r="C198" s="254" t="s">
        <v>1744</v>
      </c>
      <c r="D198" s="253" t="s">
        <v>520</v>
      </c>
      <c r="E198" s="255">
        <v>27.4569087</v>
      </c>
      <c r="F198" s="253">
        <v>2.17</v>
      </c>
      <c r="G198" s="253">
        <v>59.58</v>
      </c>
      <c r="H198" s="253">
        <v>59.58</v>
      </c>
      <c r="I198" s="256">
        <v>2.9999999999999997E-4</v>
      </c>
      <c r="J198" s="257">
        <v>198163.78</v>
      </c>
      <c r="K198" s="256">
        <v>0.98680000000000001</v>
      </c>
    </row>
    <row r="199" spans="1:11" ht="30">
      <c r="A199" s="253">
        <v>13415</v>
      </c>
      <c r="B199" s="253" t="s">
        <v>431</v>
      </c>
      <c r="C199" s="254" t="s">
        <v>1745</v>
      </c>
      <c r="D199" s="253" t="s">
        <v>8</v>
      </c>
      <c r="E199" s="255">
        <v>1</v>
      </c>
      <c r="F199" s="253">
        <v>59.11</v>
      </c>
      <c r="G199" s="253">
        <v>59.11</v>
      </c>
      <c r="H199" s="253">
        <v>59.11</v>
      </c>
      <c r="I199" s="256">
        <v>2.9999999999999997E-4</v>
      </c>
      <c r="J199" s="257">
        <v>198222.89</v>
      </c>
      <c r="K199" s="256">
        <v>0.98699999999999999</v>
      </c>
    </row>
    <row r="200" spans="1:11" ht="30">
      <c r="A200" s="253">
        <v>142</v>
      </c>
      <c r="B200" s="253" t="s">
        <v>431</v>
      </c>
      <c r="C200" s="254" t="s">
        <v>732</v>
      </c>
      <c r="D200" s="253" t="s">
        <v>733</v>
      </c>
      <c r="E200" s="255">
        <v>2.2955399999999999</v>
      </c>
      <c r="F200" s="253">
        <v>24.84</v>
      </c>
      <c r="G200" s="253">
        <v>57.02</v>
      </c>
      <c r="H200" s="253">
        <v>57.02</v>
      </c>
      <c r="I200" s="256">
        <v>2.9999999999999997E-4</v>
      </c>
      <c r="J200" s="257">
        <v>198279.91</v>
      </c>
      <c r="K200" s="256">
        <v>0.98729999999999996</v>
      </c>
    </row>
    <row r="201" spans="1:11">
      <c r="A201" s="253">
        <v>4230</v>
      </c>
      <c r="B201" s="253" t="s">
        <v>431</v>
      </c>
      <c r="C201" s="254" t="s">
        <v>1746</v>
      </c>
      <c r="D201" s="253" t="s">
        <v>520</v>
      </c>
      <c r="E201" s="255">
        <v>3.0843048</v>
      </c>
      <c r="F201" s="253">
        <v>18.420000000000002</v>
      </c>
      <c r="G201" s="253">
        <v>56.81</v>
      </c>
      <c r="H201" s="253">
        <v>56.81</v>
      </c>
      <c r="I201" s="256">
        <v>2.9999999999999997E-4</v>
      </c>
      <c r="J201" s="257">
        <v>198336.72</v>
      </c>
      <c r="K201" s="256">
        <v>0.98760000000000003</v>
      </c>
    </row>
    <row r="202" spans="1:11">
      <c r="A202" s="253">
        <v>7311</v>
      </c>
      <c r="B202" s="253" t="s">
        <v>431</v>
      </c>
      <c r="C202" s="254" t="s">
        <v>1747</v>
      </c>
      <c r="D202" s="253" t="s">
        <v>816</v>
      </c>
      <c r="E202" s="255">
        <v>1.5787739999999999</v>
      </c>
      <c r="F202" s="253">
        <v>33.86</v>
      </c>
      <c r="G202" s="253">
        <v>53.46</v>
      </c>
      <c r="H202" s="253">
        <v>53.46</v>
      </c>
      <c r="I202" s="256">
        <v>2.9999999999999997E-4</v>
      </c>
      <c r="J202" s="257">
        <v>198390.18</v>
      </c>
      <c r="K202" s="256">
        <v>0.9879</v>
      </c>
    </row>
    <row r="203" spans="1:11">
      <c r="A203" s="253">
        <v>38112</v>
      </c>
      <c r="B203" s="253" t="s">
        <v>431</v>
      </c>
      <c r="C203" s="254" t="s">
        <v>1369</v>
      </c>
      <c r="D203" s="253" t="s">
        <v>8</v>
      </c>
      <c r="E203" s="255">
        <v>8</v>
      </c>
      <c r="F203" s="253">
        <v>6.68</v>
      </c>
      <c r="G203" s="253">
        <v>53.44</v>
      </c>
      <c r="H203" s="253">
        <v>53.44</v>
      </c>
      <c r="I203" s="256">
        <v>2.9999999999999997E-4</v>
      </c>
      <c r="J203" s="257">
        <v>198443.62</v>
      </c>
      <c r="K203" s="256">
        <v>0.98809999999999998</v>
      </c>
    </row>
    <row r="204" spans="1:11" ht="30">
      <c r="A204" s="253">
        <v>38194</v>
      </c>
      <c r="B204" s="253" t="s">
        <v>431</v>
      </c>
      <c r="C204" s="254" t="s">
        <v>1328</v>
      </c>
      <c r="D204" s="253" t="s">
        <v>8</v>
      </c>
      <c r="E204" s="255">
        <v>5</v>
      </c>
      <c r="F204" s="253">
        <v>9.9</v>
      </c>
      <c r="G204" s="253">
        <v>49.5</v>
      </c>
      <c r="H204" s="253">
        <v>49.5</v>
      </c>
      <c r="I204" s="256">
        <v>2.0000000000000001E-4</v>
      </c>
      <c r="J204" s="257">
        <v>198493.12</v>
      </c>
      <c r="K204" s="256">
        <v>0.98839999999999995</v>
      </c>
    </row>
    <row r="205" spans="1:11" ht="30">
      <c r="A205" s="253">
        <v>38773</v>
      </c>
      <c r="B205" s="253" t="s">
        <v>431</v>
      </c>
      <c r="C205" s="254" t="s">
        <v>1326</v>
      </c>
      <c r="D205" s="253" t="s">
        <v>8</v>
      </c>
      <c r="E205" s="255">
        <v>5</v>
      </c>
      <c r="F205" s="253">
        <v>9.8800000000000008</v>
      </c>
      <c r="G205" s="253">
        <v>49.4</v>
      </c>
      <c r="H205" s="253">
        <v>49.4</v>
      </c>
      <c r="I205" s="256">
        <v>2.0000000000000001E-4</v>
      </c>
      <c r="J205" s="257">
        <v>198542.52</v>
      </c>
      <c r="K205" s="256">
        <v>0.98860000000000003</v>
      </c>
    </row>
    <row r="206" spans="1:11">
      <c r="A206" s="253" t="s">
        <v>1748</v>
      </c>
      <c r="B206" s="253" t="s">
        <v>427</v>
      </c>
      <c r="C206" s="254" t="s">
        <v>1749</v>
      </c>
      <c r="D206" s="253" t="s">
        <v>520</v>
      </c>
      <c r="E206" s="255">
        <v>3.87</v>
      </c>
      <c r="F206" s="253">
        <v>12.69</v>
      </c>
      <c r="G206" s="253">
        <v>49.11</v>
      </c>
      <c r="H206" s="253">
        <v>49.11</v>
      </c>
      <c r="I206" s="256">
        <v>2.0000000000000001E-4</v>
      </c>
      <c r="J206" s="257">
        <v>198591.63</v>
      </c>
      <c r="K206" s="256">
        <v>0.9889</v>
      </c>
    </row>
    <row r="207" spans="1:11" ht="30">
      <c r="A207" s="253" t="s">
        <v>1750</v>
      </c>
      <c r="B207" s="253" t="s">
        <v>427</v>
      </c>
      <c r="C207" s="254" t="s">
        <v>1751</v>
      </c>
      <c r="D207" s="253" t="s">
        <v>1576</v>
      </c>
      <c r="E207" s="255">
        <v>38.829522300000001</v>
      </c>
      <c r="F207" s="253">
        <v>1.26</v>
      </c>
      <c r="G207" s="253">
        <v>48.93</v>
      </c>
      <c r="H207" s="253">
        <v>48.93</v>
      </c>
      <c r="I207" s="256">
        <v>2.0000000000000001E-4</v>
      </c>
      <c r="J207" s="257">
        <v>198640.55</v>
      </c>
      <c r="K207" s="256">
        <v>0.98909999999999998</v>
      </c>
    </row>
    <row r="208" spans="1:11" ht="30">
      <c r="A208" s="253">
        <v>3671</v>
      </c>
      <c r="B208" s="253" t="s">
        <v>431</v>
      </c>
      <c r="C208" s="254" t="s">
        <v>855</v>
      </c>
      <c r="D208" s="253" t="s">
        <v>31</v>
      </c>
      <c r="E208" s="255">
        <v>44.054600000000001</v>
      </c>
      <c r="F208" s="253">
        <v>1.1000000000000001</v>
      </c>
      <c r="G208" s="253">
        <v>48.46</v>
      </c>
      <c r="H208" s="253">
        <v>48.46</v>
      </c>
      <c r="I208" s="256">
        <v>2.0000000000000001E-4</v>
      </c>
      <c r="J208" s="257">
        <v>198689.01</v>
      </c>
      <c r="K208" s="256">
        <v>0.98939999999999995</v>
      </c>
    </row>
    <row r="209" spans="1:11">
      <c r="A209" s="253">
        <v>40864</v>
      </c>
      <c r="B209" s="253" t="s">
        <v>431</v>
      </c>
      <c r="C209" s="254" t="s">
        <v>447</v>
      </c>
      <c r="D209" s="253" t="s">
        <v>433</v>
      </c>
      <c r="E209" s="255">
        <v>4</v>
      </c>
      <c r="F209" s="253">
        <v>11.8</v>
      </c>
      <c r="G209" s="253">
        <v>47.2</v>
      </c>
      <c r="H209" s="253">
        <v>47.2</v>
      </c>
      <c r="I209" s="256">
        <v>2.0000000000000001E-4</v>
      </c>
      <c r="J209" s="257">
        <v>198736.21</v>
      </c>
      <c r="K209" s="256">
        <v>0.98960000000000004</v>
      </c>
    </row>
    <row r="210" spans="1:11" ht="30">
      <c r="A210" s="253" t="s">
        <v>1752</v>
      </c>
      <c r="B210" s="253" t="s">
        <v>427</v>
      </c>
      <c r="C210" s="254" t="s">
        <v>1753</v>
      </c>
      <c r="D210" s="253" t="s">
        <v>476</v>
      </c>
      <c r="E210" s="255">
        <v>4.4467328000000004</v>
      </c>
      <c r="F210" s="253">
        <v>10.51</v>
      </c>
      <c r="G210" s="253">
        <v>46.74</v>
      </c>
      <c r="H210" s="253">
        <v>46.74</v>
      </c>
      <c r="I210" s="256">
        <v>2.0000000000000001E-4</v>
      </c>
      <c r="J210" s="257">
        <v>198782.95</v>
      </c>
      <c r="K210" s="256">
        <v>0.98980000000000001</v>
      </c>
    </row>
    <row r="211" spans="1:11">
      <c r="A211" s="253">
        <v>3529</v>
      </c>
      <c r="B211" s="253" t="s">
        <v>431</v>
      </c>
      <c r="C211" s="254" t="s">
        <v>1227</v>
      </c>
      <c r="D211" s="253" t="s">
        <v>8</v>
      </c>
      <c r="E211" s="255">
        <v>43</v>
      </c>
      <c r="F211" s="253">
        <v>1.08</v>
      </c>
      <c r="G211" s="253">
        <v>46.44</v>
      </c>
      <c r="H211" s="253">
        <v>46.44</v>
      </c>
      <c r="I211" s="256">
        <v>2.0000000000000001E-4</v>
      </c>
      <c r="J211" s="257">
        <v>198829.39</v>
      </c>
      <c r="K211" s="256">
        <v>0.99009999999999998</v>
      </c>
    </row>
    <row r="212" spans="1:11">
      <c r="A212" s="253" t="s">
        <v>1754</v>
      </c>
      <c r="B212" s="253" t="s">
        <v>427</v>
      </c>
      <c r="C212" s="254" t="s">
        <v>1755</v>
      </c>
      <c r="D212" s="253" t="s">
        <v>476</v>
      </c>
      <c r="E212" s="255">
        <v>4.6790700000000003</v>
      </c>
      <c r="F212" s="253">
        <v>9.65</v>
      </c>
      <c r="G212" s="253">
        <v>45.15</v>
      </c>
      <c r="H212" s="253">
        <v>45.15</v>
      </c>
      <c r="I212" s="256">
        <v>2.0000000000000001E-4</v>
      </c>
      <c r="J212" s="257">
        <v>198874.54</v>
      </c>
      <c r="K212" s="256">
        <v>0.99029999999999996</v>
      </c>
    </row>
    <row r="213" spans="1:11">
      <c r="A213" s="253">
        <v>297</v>
      </c>
      <c r="B213" s="253" t="s">
        <v>431</v>
      </c>
      <c r="C213" s="254" t="s">
        <v>1205</v>
      </c>
      <c r="D213" s="253" t="s">
        <v>8</v>
      </c>
      <c r="E213" s="255">
        <v>18</v>
      </c>
      <c r="F213" s="253">
        <v>2.44</v>
      </c>
      <c r="G213" s="253">
        <v>43.92</v>
      </c>
      <c r="H213" s="253">
        <v>43.92</v>
      </c>
      <c r="I213" s="256">
        <v>2.0000000000000001E-4</v>
      </c>
      <c r="J213" s="257">
        <v>198918.46</v>
      </c>
      <c r="K213" s="256">
        <v>0.99050000000000005</v>
      </c>
    </row>
    <row r="214" spans="1:11">
      <c r="A214" s="253" t="s">
        <v>1756</v>
      </c>
      <c r="B214" s="253" t="s">
        <v>427</v>
      </c>
      <c r="C214" s="254" t="s">
        <v>1088</v>
      </c>
      <c r="D214" s="253" t="s">
        <v>542</v>
      </c>
      <c r="E214" s="255">
        <v>7</v>
      </c>
      <c r="F214" s="253">
        <v>6.25</v>
      </c>
      <c r="G214" s="253">
        <v>43.75</v>
      </c>
      <c r="H214" s="253">
        <v>43.75</v>
      </c>
      <c r="I214" s="256">
        <v>2.0000000000000001E-4</v>
      </c>
      <c r="J214" s="257">
        <v>198962.21</v>
      </c>
      <c r="K214" s="256">
        <v>0.99070000000000003</v>
      </c>
    </row>
    <row r="215" spans="1:11">
      <c r="A215" s="253" t="s">
        <v>1757</v>
      </c>
      <c r="B215" s="253" t="s">
        <v>427</v>
      </c>
      <c r="C215" s="254" t="s">
        <v>1758</v>
      </c>
      <c r="D215" s="253" t="s">
        <v>1576</v>
      </c>
      <c r="E215" s="255">
        <v>37.8601964</v>
      </c>
      <c r="F215" s="253">
        <v>1.1499999999999999</v>
      </c>
      <c r="G215" s="253">
        <v>43.54</v>
      </c>
      <c r="H215" s="253">
        <v>43.54</v>
      </c>
      <c r="I215" s="256">
        <v>2.0000000000000001E-4</v>
      </c>
      <c r="J215" s="257">
        <v>199005.75</v>
      </c>
      <c r="K215" s="256">
        <v>0.9909</v>
      </c>
    </row>
    <row r="216" spans="1:11">
      <c r="A216" s="253">
        <v>37395</v>
      </c>
      <c r="B216" s="253" t="s">
        <v>431</v>
      </c>
      <c r="C216" s="254" t="s">
        <v>777</v>
      </c>
      <c r="D216" s="253" t="s">
        <v>655</v>
      </c>
      <c r="E216" s="255">
        <v>0.57330000000000003</v>
      </c>
      <c r="F216" s="253">
        <v>75.709999999999994</v>
      </c>
      <c r="G216" s="253">
        <v>43.4</v>
      </c>
      <c r="H216" s="253">
        <v>43.4</v>
      </c>
      <c r="I216" s="256">
        <v>2.0000000000000001E-4</v>
      </c>
      <c r="J216" s="257">
        <v>199049.16</v>
      </c>
      <c r="K216" s="256">
        <v>0.99119999999999997</v>
      </c>
    </row>
    <row r="217" spans="1:11" ht="45">
      <c r="A217" s="253">
        <v>4351</v>
      </c>
      <c r="B217" s="253" t="s">
        <v>431</v>
      </c>
      <c r="C217" s="254" t="s">
        <v>1759</v>
      </c>
      <c r="D217" s="253" t="s">
        <v>8</v>
      </c>
      <c r="E217" s="255">
        <v>2</v>
      </c>
      <c r="F217" s="253">
        <v>21.64</v>
      </c>
      <c r="G217" s="253">
        <v>43.28</v>
      </c>
      <c r="H217" s="253">
        <v>43.28</v>
      </c>
      <c r="I217" s="256">
        <v>2.0000000000000001E-4</v>
      </c>
      <c r="J217" s="257">
        <v>199092.44</v>
      </c>
      <c r="K217" s="256">
        <v>0.99139999999999995</v>
      </c>
    </row>
    <row r="218" spans="1:11" ht="30">
      <c r="A218" s="253">
        <v>43488</v>
      </c>
      <c r="B218" s="253" t="s">
        <v>431</v>
      </c>
      <c r="C218" s="254" t="s">
        <v>1760</v>
      </c>
      <c r="D218" s="253" t="s">
        <v>520</v>
      </c>
      <c r="E218" s="255">
        <v>56.856498500000001</v>
      </c>
      <c r="F218" s="253">
        <v>0.76</v>
      </c>
      <c r="G218" s="253">
        <v>43.21</v>
      </c>
      <c r="H218" s="253">
        <v>43.21</v>
      </c>
      <c r="I218" s="256">
        <v>2.0000000000000001E-4</v>
      </c>
      <c r="J218" s="257">
        <v>199135.65</v>
      </c>
      <c r="K218" s="256">
        <v>0.99160000000000004</v>
      </c>
    </row>
    <row r="219" spans="1:11">
      <c r="A219" s="253" t="s">
        <v>1761</v>
      </c>
      <c r="B219" s="253" t="s">
        <v>427</v>
      </c>
      <c r="C219" s="254" t="s">
        <v>1762</v>
      </c>
      <c r="D219" s="253" t="s">
        <v>671</v>
      </c>
      <c r="E219" s="255">
        <v>8.0041200000000003</v>
      </c>
      <c r="F219" s="253">
        <v>5.31</v>
      </c>
      <c r="G219" s="253">
        <v>42.5</v>
      </c>
      <c r="H219" s="253">
        <v>42.5</v>
      </c>
      <c r="I219" s="256">
        <v>2.0000000000000001E-4</v>
      </c>
      <c r="J219" s="257">
        <v>199178.15</v>
      </c>
      <c r="K219" s="256">
        <v>0.99180000000000001</v>
      </c>
    </row>
    <row r="220" spans="1:11">
      <c r="A220" s="253" t="s">
        <v>1763</v>
      </c>
      <c r="B220" s="253" t="s">
        <v>427</v>
      </c>
      <c r="C220" s="254" t="s">
        <v>1764</v>
      </c>
      <c r="D220" s="253" t="s">
        <v>1576</v>
      </c>
      <c r="E220" s="255">
        <v>38.992221700000002</v>
      </c>
      <c r="F220" s="253">
        <v>1.0900000000000001</v>
      </c>
      <c r="G220" s="253">
        <v>42.5</v>
      </c>
      <c r="H220" s="253">
        <v>42.5</v>
      </c>
      <c r="I220" s="256">
        <v>2.0000000000000001E-4</v>
      </c>
      <c r="J220" s="257">
        <v>199220.65</v>
      </c>
      <c r="K220" s="256">
        <v>0.99199999999999999</v>
      </c>
    </row>
    <row r="221" spans="1:11" ht="30">
      <c r="A221" s="253" t="s">
        <v>1765</v>
      </c>
      <c r="B221" s="253" t="s">
        <v>427</v>
      </c>
      <c r="C221" s="254" t="s">
        <v>1766</v>
      </c>
      <c r="D221" s="253" t="s">
        <v>1576</v>
      </c>
      <c r="E221" s="255">
        <v>140.61342869999999</v>
      </c>
      <c r="F221" s="253">
        <v>0.3</v>
      </c>
      <c r="G221" s="253">
        <v>42.18</v>
      </c>
      <c r="H221" s="253">
        <v>42.18</v>
      </c>
      <c r="I221" s="256">
        <v>2.0000000000000001E-4</v>
      </c>
      <c r="J221" s="257">
        <v>199262.83</v>
      </c>
      <c r="K221" s="256">
        <v>0.99219999999999997</v>
      </c>
    </row>
    <row r="222" spans="1:11">
      <c r="A222" s="253">
        <v>4251</v>
      </c>
      <c r="B222" s="253" t="s">
        <v>431</v>
      </c>
      <c r="C222" s="254" t="s">
        <v>1767</v>
      </c>
      <c r="D222" s="253" t="s">
        <v>520</v>
      </c>
      <c r="E222" s="255">
        <v>2.1812757999999999</v>
      </c>
      <c r="F222" s="253">
        <v>19.32</v>
      </c>
      <c r="G222" s="253">
        <v>42.14</v>
      </c>
      <c r="H222" s="253">
        <v>42.14</v>
      </c>
      <c r="I222" s="256">
        <v>2.0000000000000001E-4</v>
      </c>
      <c r="J222" s="257">
        <v>199304.98</v>
      </c>
      <c r="K222" s="256">
        <v>0.99239999999999995</v>
      </c>
    </row>
    <row r="223" spans="1:11" ht="30">
      <c r="A223" s="253" t="s">
        <v>1768</v>
      </c>
      <c r="B223" s="253" t="s">
        <v>427</v>
      </c>
      <c r="C223" s="254" t="s">
        <v>1769</v>
      </c>
      <c r="D223" s="253" t="s">
        <v>1576</v>
      </c>
      <c r="E223" s="255">
        <v>91.718257600000001</v>
      </c>
      <c r="F223" s="253">
        <v>0.45</v>
      </c>
      <c r="G223" s="253">
        <v>41.27</v>
      </c>
      <c r="H223" s="253">
        <v>41.27</v>
      </c>
      <c r="I223" s="256">
        <v>2.0000000000000001E-4</v>
      </c>
      <c r="J223" s="257">
        <v>199346.25</v>
      </c>
      <c r="K223" s="256">
        <v>0.99260000000000004</v>
      </c>
    </row>
    <row r="224" spans="1:11">
      <c r="A224" s="253">
        <v>242</v>
      </c>
      <c r="B224" s="253" t="s">
        <v>431</v>
      </c>
      <c r="C224" s="254" t="s">
        <v>1770</v>
      </c>
      <c r="D224" s="253" t="s">
        <v>520</v>
      </c>
      <c r="E224" s="255">
        <v>2.9600654999999998</v>
      </c>
      <c r="F224" s="253">
        <v>13.64</v>
      </c>
      <c r="G224" s="253">
        <v>40.380000000000003</v>
      </c>
      <c r="H224" s="253">
        <v>40.380000000000003</v>
      </c>
      <c r="I224" s="256">
        <v>2.0000000000000001E-4</v>
      </c>
      <c r="J224" s="257">
        <v>199386.62</v>
      </c>
      <c r="K224" s="256">
        <v>0.99280000000000002</v>
      </c>
    </row>
    <row r="225" spans="1:11" ht="30">
      <c r="A225" s="253">
        <v>20156</v>
      </c>
      <c r="B225" s="253" t="s">
        <v>431</v>
      </c>
      <c r="C225" s="254" t="s">
        <v>1771</v>
      </c>
      <c r="D225" s="253" t="s">
        <v>8</v>
      </c>
      <c r="E225" s="255">
        <v>1.571024</v>
      </c>
      <c r="F225" s="253">
        <v>24.76</v>
      </c>
      <c r="G225" s="253">
        <v>38.9</v>
      </c>
      <c r="H225" s="253">
        <v>38.9</v>
      </c>
      <c r="I225" s="256">
        <v>2.0000000000000001E-4</v>
      </c>
      <c r="J225" s="257">
        <v>199425.52</v>
      </c>
      <c r="K225" s="256">
        <v>0.99299999999999999</v>
      </c>
    </row>
    <row r="226" spans="1:11">
      <c r="A226" s="253">
        <v>296</v>
      </c>
      <c r="B226" s="253" t="s">
        <v>431</v>
      </c>
      <c r="C226" s="254" t="s">
        <v>1106</v>
      </c>
      <c r="D226" s="253" t="s">
        <v>8</v>
      </c>
      <c r="E226" s="255">
        <v>23</v>
      </c>
      <c r="F226" s="253">
        <v>1.66</v>
      </c>
      <c r="G226" s="253">
        <v>38.18</v>
      </c>
      <c r="H226" s="253">
        <v>38.18</v>
      </c>
      <c r="I226" s="256">
        <v>2.0000000000000001E-4</v>
      </c>
      <c r="J226" s="257">
        <v>199463.7</v>
      </c>
      <c r="K226" s="256">
        <v>0.99319999999999997</v>
      </c>
    </row>
    <row r="227" spans="1:11">
      <c r="A227" s="253">
        <v>3123</v>
      </c>
      <c r="B227" s="253" t="s">
        <v>431</v>
      </c>
      <c r="C227" s="254" t="s">
        <v>966</v>
      </c>
      <c r="D227" s="253" t="s">
        <v>60</v>
      </c>
      <c r="E227" s="255">
        <v>8.3770000000000007</v>
      </c>
      <c r="F227" s="253">
        <v>4.37</v>
      </c>
      <c r="G227" s="253">
        <v>36.61</v>
      </c>
      <c r="H227" s="253">
        <v>36.61</v>
      </c>
      <c r="I227" s="256">
        <v>2.0000000000000001E-4</v>
      </c>
      <c r="J227" s="257">
        <v>199500.31</v>
      </c>
      <c r="K227" s="256">
        <v>0.99339999999999995</v>
      </c>
    </row>
    <row r="228" spans="1:11">
      <c r="A228" s="253" t="s">
        <v>1772</v>
      </c>
      <c r="B228" s="253" t="s">
        <v>427</v>
      </c>
      <c r="C228" s="254" t="s">
        <v>1773</v>
      </c>
      <c r="D228" s="253" t="s">
        <v>520</v>
      </c>
      <c r="E228" s="255">
        <v>1.796</v>
      </c>
      <c r="F228" s="253">
        <v>20.09</v>
      </c>
      <c r="G228" s="253">
        <v>36.08</v>
      </c>
      <c r="H228" s="253">
        <v>36.08</v>
      </c>
      <c r="I228" s="256">
        <v>2.0000000000000001E-4</v>
      </c>
      <c r="J228" s="257">
        <v>199536.39</v>
      </c>
      <c r="K228" s="256">
        <v>0.99360000000000004</v>
      </c>
    </row>
    <row r="229" spans="1:11" ht="30">
      <c r="A229" s="253" t="s">
        <v>1774</v>
      </c>
      <c r="B229" s="253" t="s">
        <v>427</v>
      </c>
      <c r="C229" s="254" t="s">
        <v>1775</v>
      </c>
      <c r="D229" s="253" t="s">
        <v>1576</v>
      </c>
      <c r="E229" s="255">
        <v>45.756542799999998</v>
      </c>
      <c r="F229" s="253">
        <v>0.76</v>
      </c>
      <c r="G229" s="253">
        <v>34.770000000000003</v>
      </c>
      <c r="H229" s="253">
        <v>34.770000000000003</v>
      </c>
      <c r="I229" s="256">
        <v>2.0000000000000001E-4</v>
      </c>
      <c r="J229" s="257">
        <v>199571.17</v>
      </c>
      <c r="K229" s="256">
        <v>0.99380000000000002</v>
      </c>
    </row>
    <row r="230" spans="1:11">
      <c r="A230" s="253">
        <v>38193</v>
      </c>
      <c r="B230" s="253" t="s">
        <v>431</v>
      </c>
      <c r="C230" s="254" t="s">
        <v>1479</v>
      </c>
      <c r="D230" s="253" t="s">
        <v>8</v>
      </c>
      <c r="E230" s="255">
        <v>4</v>
      </c>
      <c r="F230" s="253">
        <v>8.6</v>
      </c>
      <c r="G230" s="253">
        <v>34.4</v>
      </c>
      <c r="H230" s="253">
        <v>34.4</v>
      </c>
      <c r="I230" s="256">
        <v>2.0000000000000001E-4</v>
      </c>
      <c r="J230" s="257">
        <v>199605.57</v>
      </c>
      <c r="K230" s="256">
        <v>0.99390000000000001</v>
      </c>
    </row>
    <row r="231" spans="1:11">
      <c r="A231" s="253">
        <v>39352</v>
      </c>
      <c r="B231" s="253" t="s">
        <v>431</v>
      </c>
      <c r="C231" s="254" t="s">
        <v>1336</v>
      </c>
      <c r="D231" s="253" t="s">
        <v>8</v>
      </c>
      <c r="E231" s="255">
        <v>9</v>
      </c>
      <c r="F231" s="253">
        <v>3.82</v>
      </c>
      <c r="G231" s="253">
        <v>34.380000000000003</v>
      </c>
      <c r="H231" s="253">
        <v>34.380000000000003</v>
      </c>
      <c r="I231" s="256">
        <v>2.0000000000000001E-4</v>
      </c>
      <c r="J231" s="257">
        <v>199639.95</v>
      </c>
      <c r="K231" s="256">
        <v>0.99409999999999998</v>
      </c>
    </row>
    <row r="232" spans="1:11">
      <c r="A232" s="253">
        <v>4253</v>
      </c>
      <c r="B232" s="253" t="s">
        <v>431</v>
      </c>
      <c r="C232" s="254" t="s">
        <v>1776</v>
      </c>
      <c r="D232" s="253" t="s">
        <v>520</v>
      </c>
      <c r="E232" s="255">
        <v>1.9674841000000001</v>
      </c>
      <c r="F232" s="253">
        <v>17.43</v>
      </c>
      <c r="G232" s="253">
        <v>34.29</v>
      </c>
      <c r="H232" s="253">
        <v>34.29</v>
      </c>
      <c r="I232" s="256">
        <v>2.0000000000000001E-4</v>
      </c>
      <c r="J232" s="257">
        <v>199674.23999999999</v>
      </c>
      <c r="K232" s="256">
        <v>0.99429999999999996</v>
      </c>
    </row>
    <row r="233" spans="1:11" ht="30">
      <c r="A233" s="253">
        <v>2488</v>
      </c>
      <c r="B233" s="253" t="s">
        <v>431</v>
      </c>
      <c r="C233" s="254" t="s">
        <v>1338</v>
      </c>
      <c r="D233" s="253" t="s">
        <v>8</v>
      </c>
      <c r="E233" s="255">
        <v>17</v>
      </c>
      <c r="F233" s="253">
        <v>2.0099999999999998</v>
      </c>
      <c r="G233" s="253">
        <v>34.17</v>
      </c>
      <c r="H233" s="253">
        <v>34.17</v>
      </c>
      <c r="I233" s="256">
        <v>2.0000000000000001E-4</v>
      </c>
      <c r="J233" s="257">
        <v>199708.41</v>
      </c>
      <c r="K233" s="256">
        <v>0.99439999999999995</v>
      </c>
    </row>
    <row r="234" spans="1:11">
      <c r="A234" s="253" t="s">
        <v>1777</v>
      </c>
      <c r="B234" s="253" t="s">
        <v>427</v>
      </c>
      <c r="C234" s="254" t="s">
        <v>1151</v>
      </c>
      <c r="D234" s="253" t="s">
        <v>676</v>
      </c>
      <c r="E234" s="255">
        <v>1</v>
      </c>
      <c r="F234" s="253">
        <v>33.39</v>
      </c>
      <c r="G234" s="253">
        <v>33.39</v>
      </c>
      <c r="H234" s="253">
        <v>33.39</v>
      </c>
      <c r="I234" s="256">
        <v>2.0000000000000001E-4</v>
      </c>
      <c r="J234" s="257">
        <v>199741.8</v>
      </c>
      <c r="K234" s="256">
        <v>0.99460000000000004</v>
      </c>
    </row>
    <row r="235" spans="1:11" ht="30">
      <c r="A235" s="253">
        <v>21127</v>
      </c>
      <c r="B235" s="253" t="s">
        <v>431</v>
      </c>
      <c r="C235" s="254" t="s">
        <v>1259</v>
      </c>
      <c r="D235" s="253" t="s">
        <v>8</v>
      </c>
      <c r="E235" s="255">
        <v>8.9849999999999994</v>
      </c>
      <c r="F235" s="253">
        <v>3.59</v>
      </c>
      <c r="G235" s="253">
        <v>32.26</v>
      </c>
      <c r="H235" s="253">
        <v>32.26</v>
      </c>
      <c r="I235" s="256">
        <v>2.0000000000000001E-4</v>
      </c>
      <c r="J235" s="257">
        <v>199774.06</v>
      </c>
      <c r="K235" s="256">
        <v>0.99480000000000002</v>
      </c>
    </row>
    <row r="236" spans="1:11">
      <c r="A236" s="253" t="s">
        <v>1778</v>
      </c>
      <c r="B236" s="253" t="s">
        <v>427</v>
      </c>
      <c r="C236" s="254" t="s">
        <v>1380</v>
      </c>
      <c r="D236" s="253" t="s">
        <v>671</v>
      </c>
      <c r="E236" s="255">
        <v>9.6780000000000008</v>
      </c>
      <c r="F236" s="253">
        <v>3.31</v>
      </c>
      <c r="G236" s="253">
        <v>32.03</v>
      </c>
      <c r="H236" s="253">
        <v>32.03</v>
      </c>
      <c r="I236" s="256">
        <v>2.0000000000000001E-4</v>
      </c>
      <c r="J236" s="257">
        <v>199806.09</v>
      </c>
      <c r="K236" s="256">
        <v>0.99490000000000001</v>
      </c>
    </row>
    <row r="237" spans="1:11" ht="30">
      <c r="A237" s="253" t="s">
        <v>1779</v>
      </c>
      <c r="B237" s="253" t="s">
        <v>427</v>
      </c>
      <c r="C237" s="254" t="s">
        <v>1780</v>
      </c>
      <c r="D237" s="253" t="s">
        <v>1576</v>
      </c>
      <c r="E237" s="255">
        <v>29.466666</v>
      </c>
      <c r="F237" s="253">
        <v>1.07</v>
      </c>
      <c r="G237" s="253">
        <v>31.53</v>
      </c>
      <c r="H237" s="253">
        <v>31.53</v>
      </c>
      <c r="I237" s="256">
        <v>2.0000000000000001E-4</v>
      </c>
      <c r="J237" s="257">
        <v>199837.62</v>
      </c>
      <c r="K237" s="256">
        <v>0.99509999999999998</v>
      </c>
    </row>
    <row r="238" spans="1:11">
      <c r="A238" s="253" t="s">
        <v>1781</v>
      </c>
      <c r="B238" s="253" t="s">
        <v>427</v>
      </c>
      <c r="C238" s="254" t="s">
        <v>1782</v>
      </c>
      <c r="D238" s="253" t="s">
        <v>1576</v>
      </c>
      <c r="E238" s="255">
        <v>29.466666</v>
      </c>
      <c r="F238" s="253">
        <v>1.07</v>
      </c>
      <c r="G238" s="253">
        <v>31.53</v>
      </c>
      <c r="H238" s="253">
        <v>31.53</v>
      </c>
      <c r="I238" s="256">
        <v>2.0000000000000001E-4</v>
      </c>
      <c r="J238" s="257">
        <v>199869.15</v>
      </c>
      <c r="K238" s="256">
        <v>0.99519999999999997</v>
      </c>
    </row>
    <row r="239" spans="1:11" ht="30">
      <c r="A239" s="253" t="s">
        <v>1783</v>
      </c>
      <c r="B239" s="253" t="s">
        <v>427</v>
      </c>
      <c r="C239" s="254" t="s">
        <v>225</v>
      </c>
      <c r="D239" s="253" t="s">
        <v>542</v>
      </c>
      <c r="E239" s="255">
        <v>1</v>
      </c>
      <c r="F239" s="253">
        <v>31.49</v>
      </c>
      <c r="G239" s="253">
        <v>31.49</v>
      </c>
      <c r="H239" s="253">
        <v>31.49</v>
      </c>
      <c r="I239" s="256">
        <v>2.0000000000000001E-4</v>
      </c>
      <c r="J239" s="257">
        <v>199900.64</v>
      </c>
      <c r="K239" s="256">
        <v>0.99539999999999995</v>
      </c>
    </row>
    <row r="240" spans="1:11" ht="30">
      <c r="A240" s="253">
        <v>20078</v>
      </c>
      <c r="B240" s="253" t="s">
        <v>431</v>
      </c>
      <c r="C240" s="254" t="s">
        <v>1110</v>
      </c>
      <c r="D240" s="253" t="s">
        <v>8</v>
      </c>
      <c r="E240" s="255">
        <v>1.3063723</v>
      </c>
      <c r="F240" s="253">
        <v>22.86</v>
      </c>
      <c r="G240" s="253">
        <v>29.86</v>
      </c>
      <c r="H240" s="253">
        <v>29.86</v>
      </c>
      <c r="I240" s="256">
        <v>1E-4</v>
      </c>
      <c r="J240" s="257">
        <v>199930.5</v>
      </c>
      <c r="K240" s="256">
        <v>0.99560000000000004</v>
      </c>
    </row>
    <row r="241" spans="1:11" ht="30">
      <c r="A241" s="253">
        <v>20150</v>
      </c>
      <c r="B241" s="253" t="s">
        <v>431</v>
      </c>
      <c r="C241" s="254" t="s">
        <v>1784</v>
      </c>
      <c r="D241" s="253" t="s">
        <v>8</v>
      </c>
      <c r="E241" s="255">
        <v>1.436896</v>
      </c>
      <c r="F241" s="253">
        <v>20.63</v>
      </c>
      <c r="G241" s="253">
        <v>29.64</v>
      </c>
      <c r="H241" s="253">
        <v>29.64</v>
      </c>
      <c r="I241" s="256">
        <v>1E-4</v>
      </c>
      <c r="J241" s="257">
        <v>199960.15</v>
      </c>
      <c r="K241" s="256">
        <v>0.99570000000000003</v>
      </c>
    </row>
    <row r="242" spans="1:11">
      <c r="A242" s="253">
        <v>34357</v>
      </c>
      <c r="B242" s="253" t="s">
        <v>431</v>
      </c>
      <c r="C242" s="254" t="s">
        <v>846</v>
      </c>
      <c r="D242" s="253" t="s">
        <v>60</v>
      </c>
      <c r="E242" s="255">
        <v>7.8849999999999998</v>
      </c>
      <c r="F242" s="253">
        <v>3.69</v>
      </c>
      <c r="G242" s="253">
        <v>29.1</v>
      </c>
      <c r="H242" s="253">
        <v>29.1</v>
      </c>
      <c r="I242" s="256">
        <v>1E-4</v>
      </c>
      <c r="J242" s="257">
        <v>199989.24</v>
      </c>
      <c r="K242" s="256">
        <v>0.99580000000000002</v>
      </c>
    </row>
    <row r="243" spans="1:11" ht="30">
      <c r="A243" s="253" t="s">
        <v>1785</v>
      </c>
      <c r="B243" s="253" t="s">
        <v>427</v>
      </c>
      <c r="C243" s="254" t="s">
        <v>1786</v>
      </c>
      <c r="D243" s="253" t="s">
        <v>1576</v>
      </c>
      <c r="E243" s="255">
        <v>38.992221700000002</v>
      </c>
      <c r="F243" s="253">
        <v>0.74</v>
      </c>
      <c r="G243" s="253">
        <v>28.85</v>
      </c>
      <c r="H243" s="253">
        <v>28.85</v>
      </c>
      <c r="I243" s="256">
        <v>1E-4</v>
      </c>
      <c r="J243" s="257">
        <v>200018.1</v>
      </c>
      <c r="K243" s="256">
        <v>0.996</v>
      </c>
    </row>
    <row r="244" spans="1:11" ht="30">
      <c r="A244" s="253">
        <v>41898</v>
      </c>
      <c r="B244" s="253" t="s">
        <v>431</v>
      </c>
      <c r="C244" s="254" t="s">
        <v>1787</v>
      </c>
      <c r="D244" s="253" t="s">
        <v>8</v>
      </c>
      <c r="E244" s="255">
        <v>1.5112999999999999E-3</v>
      </c>
      <c r="F244" s="257">
        <v>18870.62</v>
      </c>
      <c r="G244" s="253">
        <v>28.52</v>
      </c>
      <c r="H244" s="253">
        <v>28.52</v>
      </c>
      <c r="I244" s="256">
        <v>1E-4</v>
      </c>
      <c r="J244" s="257">
        <v>200046.62</v>
      </c>
      <c r="K244" s="256">
        <v>0.99609999999999999</v>
      </c>
    </row>
    <row r="245" spans="1:11" ht="30">
      <c r="A245" s="253">
        <v>7097</v>
      </c>
      <c r="B245" s="253" t="s">
        <v>431</v>
      </c>
      <c r="C245" s="254" t="s">
        <v>1156</v>
      </c>
      <c r="D245" s="253" t="s">
        <v>8</v>
      </c>
      <c r="E245" s="255">
        <v>3</v>
      </c>
      <c r="F245" s="253">
        <v>8.84</v>
      </c>
      <c r="G245" s="253">
        <v>26.52</v>
      </c>
      <c r="H245" s="253">
        <v>26.52</v>
      </c>
      <c r="I245" s="256">
        <v>1E-4</v>
      </c>
      <c r="J245" s="257">
        <v>200073.14</v>
      </c>
      <c r="K245" s="256">
        <v>0.99629999999999996</v>
      </c>
    </row>
    <row r="246" spans="1:11">
      <c r="A246" s="253" t="s">
        <v>1788</v>
      </c>
      <c r="B246" s="253" t="s">
        <v>427</v>
      </c>
      <c r="C246" s="254" t="s">
        <v>1388</v>
      </c>
      <c r="D246" s="253" t="s">
        <v>476</v>
      </c>
      <c r="E246" s="255">
        <v>1.9434308</v>
      </c>
      <c r="F246" s="253">
        <v>13.42</v>
      </c>
      <c r="G246" s="253">
        <v>26.08</v>
      </c>
      <c r="H246" s="253">
        <v>26.08</v>
      </c>
      <c r="I246" s="256">
        <v>1E-4</v>
      </c>
      <c r="J246" s="257">
        <v>200099.22</v>
      </c>
      <c r="K246" s="256">
        <v>0.99639999999999995</v>
      </c>
    </row>
    <row r="247" spans="1:11" ht="45">
      <c r="A247" s="253" t="s">
        <v>1789</v>
      </c>
      <c r="B247" s="253" t="s">
        <v>427</v>
      </c>
      <c r="C247" s="254" t="s">
        <v>1790</v>
      </c>
      <c r="D247" s="253" t="s">
        <v>676</v>
      </c>
      <c r="E247" s="255">
        <v>8</v>
      </c>
      <c r="F247" s="253">
        <v>3.18</v>
      </c>
      <c r="G247" s="253">
        <v>25.44</v>
      </c>
      <c r="H247" s="253">
        <v>25.44</v>
      </c>
      <c r="I247" s="256">
        <v>1E-4</v>
      </c>
      <c r="J247" s="257">
        <v>200124.66</v>
      </c>
      <c r="K247" s="256">
        <v>0.99650000000000005</v>
      </c>
    </row>
    <row r="248" spans="1:11">
      <c r="A248" s="253" t="s">
        <v>1791</v>
      </c>
      <c r="B248" s="253" t="s">
        <v>427</v>
      </c>
      <c r="C248" s="254" t="s">
        <v>1792</v>
      </c>
      <c r="D248" s="253" t="s">
        <v>520</v>
      </c>
      <c r="E248" s="255">
        <v>1.796</v>
      </c>
      <c r="F248" s="253">
        <v>14.11</v>
      </c>
      <c r="G248" s="253">
        <v>25.34</v>
      </c>
      <c r="H248" s="253">
        <v>25.34</v>
      </c>
      <c r="I248" s="256">
        <v>1E-4</v>
      </c>
      <c r="J248" s="257">
        <v>200150</v>
      </c>
      <c r="K248" s="256">
        <v>0.99660000000000004</v>
      </c>
    </row>
    <row r="249" spans="1:11" ht="30">
      <c r="A249" s="253">
        <v>3875</v>
      </c>
      <c r="B249" s="253" t="s">
        <v>431</v>
      </c>
      <c r="C249" s="254" t="s">
        <v>1190</v>
      </c>
      <c r="D249" s="253" t="s">
        <v>8</v>
      </c>
      <c r="E249" s="255">
        <v>7</v>
      </c>
      <c r="F249" s="253">
        <v>3.6</v>
      </c>
      <c r="G249" s="253">
        <v>25.2</v>
      </c>
      <c r="H249" s="253">
        <v>25.2</v>
      </c>
      <c r="I249" s="256">
        <v>1E-4</v>
      </c>
      <c r="J249" s="257">
        <v>200175.2</v>
      </c>
      <c r="K249" s="256">
        <v>0.99680000000000002</v>
      </c>
    </row>
    <row r="250" spans="1:11" ht="30">
      <c r="A250" s="253">
        <v>4720</v>
      </c>
      <c r="B250" s="253" t="s">
        <v>431</v>
      </c>
      <c r="C250" s="254" t="s">
        <v>1793</v>
      </c>
      <c r="D250" s="253" t="s">
        <v>468</v>
      </c>
      <c r="E250" s="255">
        <v>0.22262190000000001</v>
      </c>
      <c r="F250" s="253">
        <v>109.33</v>
      </c>
      <c r="G250" s="253">
        <v>24.34</v>
      </c>
      <c r="H250" s="253">
        <v>24.34</v>
      </c>
      <c r="I250" s="256">
        <v>1E-4</v>
      </c>
      <c r="J250" s="257">
        <v>200199.54</v>
      </c>
      <c r="K250" s="256">
        <v>0.99690000000000001</v>
      </c>
    </row>
    <row r="251" spans="1:11" ht="30">
      <c r="A251" s="253">
        <v>5103</v>
      </c>
      <c r="B251" s="253" t="s">
        <v>431</v>
      </c>
      <c r="C251" s="254" t="s">
        <v>1108</v>
      </c>
      <c r="D251" s="253" t="s">
        <v>8</v>
      </c>
      <c r="E251" s="255">
        <v>1</v>
      </c>
      <c r="F251" s="253">
        <v>23.45</v>
      </c>
      <c r="G251" s="253">
        <v>23.45</v>
      </c>
      <c r="H251" s="253">
        <v>23.45</v>
      </c>
      <c r="I251" s="256">
        <v>1E-4</v>
      </c>
      <c r="J251" s="257">
        <v>200222.99</v>
      </c>
      <c r="K251" s="256">
        <v>0.997</v>
      </c>
    </row>
    <row r="252" spans="1:11" ht="30">
      <c r="A252" s="253" t="s">
        <v>1794</v>
      </c>
      <c r="B252" s="253" t="s">
        <v>427</v>
      </c>
      <c r="C252" s="254" t="s">
        <v>1795</v>
      </c>
      <c r="D252" s="253" t="s">
        <v>1576</v>
      </c>
      <c r="E252" s="255">
        <v>29.466666</v>
      </c>
      <c r="F252" s="253">
        <v>0.78</v>
      </c>
      <c r="G252" s="253">
        <v>22.98</v>
      </c>
      <c r="H252" s="253">
        <v>22.98</v>
      </c>
      <c r="I252" s="256">
        <v>1E-4</v>
      </c>
      <c r="J252" s="257">
        <v>200245.97</v>
      </c>
      <c r="K252" s="256">
        <v>0.99709999999999999</v>
      </c>
    </row>
    <row r="253" spans="1:11" ht="30">
      <c r="A253" s="253" t="s">
        <v>1796</v>
      </c>
      <c r="B253" s="253" t="s">
        <v>427</v>
      </c>
      <c r="C253" s="254" t="s">
        <v>1797</v>
      </c>
      <c r="D253" s="253" t="s">
        <v>1576</v>
      </c>
      <c r="E253" s="255">
        <v>29.466666</v>
      </c>
      <c r="F253" s="253">
        <v>0.78</v>
      </c>
      <c r="G253" s="253">
        <v>22.98</v>
      </c>
      <c r="H253" s="253">
        <v>22.98</v>
      </c>
      <c r="I253" s="256">
        <v>1E-4</v>
      </c>
      <c r="J253" s="257">
        <v>200268.96</v>
      </c>
      <c r="K253" s="256">
        <v>0.99719999999999998</v>
      </c>
    </row>
    <row r="254" spans="1:11" ht="30">
      <c r="A254" s="253">
        <v>298</v>
      </c>
      <c r="B254" s="253" t="s">
        <v>431</v>
      </c>
      <c r="C254" s="254" t="s">
        <v>1798</v>
      </c>
      <c r="D254" s="253" t="s">
        <v>8</v>
      </c>
      <c r="E254" s="255">
        <v>8.6399679999999996</v>
      </c>
      <c r="F254" s="253">
        <v>2.65</v>
      </c>
      <c r="G254" s="253">
        <v>22.9</v>
      </c>
      <c r="H254" s="253">
        <v>22.9</v>
      </c>
      <c r="I254" s="256">
        <v>1E-4</v>
      </c>
      <c r="J254" s="257">
        <v>200291.85</v>
      </c>
      <c r="K254" s="256">
        <v>0.99739999999999995</v>
      </c>
    </row>
    <row r="255" spans="1:11" ht="30">
      <c r="A255" s="253">
        <v>20046</v>
      </c>
      <c r="B255" s="253" t="s">
        <v>431</v>
      </c>
      <c r="C255" s="254" t="s">
        <v>1799</v>
      </c>
      <c r="D255" s="253" t="s">
        <v>8</v>
      </c>
      <c r="E255" s="255">
        <v>0.99865599999999999</v>
      </c>
      <c r="F255" s="253">
        <v>22.9</v>
      </c>
      <c r="G255" s="253">
        <v>22.87</v>
      </c>
      <c r="H255" s="253">
        <v>22.87</v>
      </c>
      <c r="I255" s="256">
        <v>1E-4</v>
      </c>
      <c r="J255" s="257">
        <v>200314.72</v>
      </c>
      <c r="K255" s="256">
        <v>0.99750000000000005</v>
      </c>
    </row>
    <row r="256" spans="1:11" ht="30">
      <c r="A256" s="253">
        <v>3662</v>
      </c>
      <c r="B256" s="253" t="s">
        <v>431</v>
      </c>
      <c r="C256" s="254" t="s">
        <v>1180</v>
      </c>
      <c r="D256" s="253" t="s">
        <v>8</v>
      </c>
      <c r="E256" s="255">
        <v>2</v>
      </c>
      <c r="F256" s="253">
        <v>11.03</v>
      </c>
      <c r="G256" s="253">
        <v>22.06</v>
      </c>
      <c r="H256" s="253">
        <v>22.06</v>
      </c>
      <c r="I256" s="256">
        <v>1E-4</v>
      </c>
      <c r="J256" s="257">
        <v>200336.78</v>
      </c>
      <c r="K256" s="256">
        <v>0.99760000000000004</v>
      </c>
    </row>
    <row r="257" spans="1:11" ht="30">
      <c r="A257" s="253" t="s">
        <v>1800</v>
      </c>
      <c r="B257" s="253" t="s">
        <v>427</v>
      </c>
      <c r="C257" s="254" t="s">
        <v>1801</v>
      </c>
      <c r="D257" s="253" t="s">
        <v>1576</v>
      </c>
      <c r="E257" s="255">
        <v>93.264720499999996</v>
      </c>
      <c r="F257" s="253">
        <v>0.23</v>
      </c>
      <c r="G257" s="253">
        <v>21.45</v>
      </c>
      <c r="H257" s="253">
        <v>21.45</v>
      </c>
      <c r="I257" s="256">
        <v>1E-4</v>
      </c>
      <c r="J257" s="257">
        <v>200358.23</v>
      </c>
      <c r="K257" s="256">
        <v>0.99770000000000003</v>
      </c>
    </row>
    <row r="258" spans="1:11" ht="30">
      <c r="A258" s="253">
        <v>36522</v>
      </c>
      <c r="B258" s="253" t="s">
        <v>431</v>
      </c>
      <c r="C258" s="254" t="s">
        <v>1802</v>
      </c>
      <c r="D258" s="253" t="s">
        <v>8</v>
      </c>
      <c r="E258" s="255">
        <v>2.7510000000000002E-4</v>
      </c>
      <c r="F258" s="257">
        <v>77937.33</v>
      </c>
      <c r="G258" s="253">
        <v>21.44</v>
      </c>
      <c r="H258" s="253">
        <v>21.44</v>
      </c>
      <c r="I258" s="256">
        <v>1E-4</v>
      </c>
      <c r="J258" s="257">
        <v>200379.67</v>
      </c>
      <c r="K258" s="256">
        <v>0.99780000000000002</v>
      </c>
    </row>
    <row r="259" spans="1:11" ht="30">
      <c r="A259" s="253" t="s">
        <v>1803</v>
      </c>
      <c r="B259" s="253" t="s">
        <v>427</v>
      </c>
      <c r="C259" s="254" t="s">
        <v>1804</v>
      </c>
      <c r="D259" s="253" t="s">
        <v>1576</v>
      </c>
      <c r="E259" s="255">
        <v>19.496110699999999</v>
      </c>
      <c r="F259" s="253">
        <v>1.0900000000000001</v>
      </c>
      <c r="G259" s="253">
        <v>21.25</v>
      </c>
      <c r="H259" s="253">
        <v>21.25</v>
      </c>
      <c r="I259" s="256">
        <v>1E-4</v>
      </c>
      <c r="J259" s="257">
        <v>200400.92</v>
      </c>
      <c r="K259" s="256">
        <v>0.99790000000000001</v>
      </c>
    </row>
    <row r="260" spans="1:11" ht="30">
      <c r="A260" s="253" t="s">
        <v>1805</v>
      </c>
      <c r="B260" s="253" t="s">
        <v>427</v>
      </c>
      <c r="C260" s="254" t="s">
        <v>1806</v>
      </c>
      <c r="D260" s="253" t="s">
        <v>1576</v>
      </c>
      <c r="E260" s="255">
        <v>37.8601964</v>
      </c>
      <c r="F260" s="253">
        <v>0.56000000000000005</v>
      </c>
      <c r="G260" s="253">
        <v>21.2</v>
      </c>
      <c r="H260" s="253">
        <v>21.2</v>
      </c>
      <c r="I260" s="256">
        <v>1E-4</v>
      </c>
      <c r="J260" s="257">
        <v>200422.12</v>
      </c>
      <c r="K260" s="256">
        <v>0.998</v>
      </c>
    </row>
    <row r="261" spans="1:11" ht="30">
      <c r="A261" s="253">
        <v>20177</v>
      </c>
      <c r="B261" s="253" t="s">
        <v>431</v>
      </c>
      <c r="C261" s="254" t="s">
        <v>1807</v>
      </c>
      <c r="D261" s="253" t="s">
        <v>8</v>
      </c>
      <c r="E261" s="255">
        <v>0.54049599999999998</v>
      </c>
      <c r="F261" s="253">
        <v>37.799999999999997</v>
      </c>
      <c r="G261" s="253">
        <v>20.43</v>
      </c>
      <c r="H261" s="253">
        <v>20.43</v>
      </c>
      <c r="I261" s="256">
        <v>1E-4</v>
      </c>
      <c r="J261" s="257">
        <v>200442.55</v>
      </c>
      <c r="K261" s="256">
        <v>0.99809999999999999</v>
      </c>
    </row>
    <row r="262" spans="1:11" ht="30">
      <c r="A262" s="253">
        <v>3516</v>
      </c>
      <c r="B262" s="253" t="s">
        <v>431</v>
      </c>
      <c r="C262" s="254" t="s">
        <v>1164</v>
      </c>
      <c r="D262" s="253" t="s">
        <v>8</v>
      </c>
      <c r="E262" s="255">
        <v>15</v>
      </c>
      <c r="F262" s="253">
        <v>1.31</v>
      </c>
      <c r="G262" s="253">
        <v>19.649999999999999</v>
      </c>
      <c r="H262" s="253">
        <v>19.649999999999999</v>
      </c>
      <c r="I262" s="256">
        <v>1E-4</v>
      </c>
      <c r="J262" s="257">
        <v>200462.2</v>
      </c>
      <c r="K262" s="256">
        <v>0.99819999999999998</v>
      </c>
    </row>
    <row r="263" spans="1:11" ht="30">
      <c r="A263" s="253">
        <v>39017</v>
      </c>
      <c r="B263" s="253" t="s">
        <v>431</v>
      </c>
      <c r="C263" s="254" t="s">
        <v>596</v>
      </c>
      <c r="D263" s="253" t="s">
        <v>8</v>
      </c>
      <c r="E263" s="255">
        <v>94.126350000000002</v>
      </c>
      <c r="F263" s="253">
        <v>0.19</v>
      </c>
      <c r="G263" s="253">
        <v>17.88</v>
      </c>
      <c r="H263" s="253">
        <v>17.88</v>
      </c>
      <c r="I263" s="256">
        <v>1E-4</v>
      </c>
      <c r="J263" s="257">
        <v>200480.09</v>
      </c>
      <c r="K263" s="256">
        <v>0.99829999999999997</v>
      </c>
    </row>
    <row r="264" spans="1:11" ht="30">
      <c r="A264" s="253" t="s">
        <v>1808</v>
      </c>
      <c r="B264" s="253" t="s">
        <v>427</v>
      </c>
      <c r="C264" s="254" t="s">
        <v>1809</v>
      </c>
      <c r="D264" s="253" t="s">
        <v>1576</v>
      </c>
      <c r="E264" s="255">
        <v>38.829522300000001</v>
      </c>
      <c r="F264" s="253">
        <v>0.45</v>
      </c>
      <c r="G264" s="253">
        <v>17.47</v>
      </c>
      <c r="H264" s="253">
        <v>17.47</v>
      </c>
      <c r="I264" s="256">
        <v>1E-4</v>
      </c>
      <c r="J264" s="257">
        <v>200497.56</v>
      </c>
      <c r="K264" s="256">
        <v>0.99839999999999995</v>
      </c>
    </row>
    <row r="265" spans="1:11">
      <c r="A265" s="253" t="s">
        <v>1810</v>
      </c>
      <c r="B265" s="253" t="s">
        <v>427</v>
      </c>
      <c r="C265" s="254" t="s">
        <v>862</v>
      </c>
      <c r="D265" s="253" t="s">
        <v>476</v>
      </c>
      <c r="E265" s="255">
        <v>10.307499999999999</v>
      </c>
      <c r="F265" s="253">
        <v>1.68</v>
      </c>
      <c r="G265" s="253">
        <v>17.32</v>
      </c>
      <c r="H265" s="253">
        <v>17.32</v>
      </c>
      <c r="I265" s="256">
        <v>1E-4</v>
      </c>
      <c r="J265" s="257">
        <v>200514.88</v>
      </c>
      <c r="K265" s="256">
        <v>0.99850000000000005</v>
      </c>
    </row>
    <row r="266" spans="1:11" ht="45">
      <c r="A266" s="253" t="s">
        <v>1811</v>
      </c>
      <c r="B266" s="253" t="s">
        <v>427</v>
      </c>
      <c r="C266" s="254" t="s">
        <v>1397</v>
      </c>
      <c r="D266" s="253" t="s">
        <v>676</v>
      </c>
      <c r="E266" s="255">
        <v>28</v>
      </c>
      <c r="F266" s="253">
        <v>0.61</v>
      </c>
      <c r="G266" s="253">
        <v>17.079999999999998</v>
      </c>
      <c r="H266" s="253">
        <v>17.079999999999998</v>
      </c>
      <c r="I266" s="256">
        <v>1E-4</v>
      </c>
      <c r="J266" s="257">
        <v>200531.96</v>
      </c>
      <c r="K266" s="256">
        <v>0.99850000000000005</v>
      </c>
    </row>
    <row r="267" spans="1:11" ht="30">
      <c r="A267" s="253" t="s">
        <v>1812</v>
      </c>
      <c r="B267" s="253" t="s">
        <v>427</v>
      </c>
      <c r="C267" s="254" t="s">
        <v>1813</v>
      </c>
      <c r="D267" s="253" t="s">
        <v>1576</v>
      </c>
      <c r="E267" s="255">
        <v>78.400000000000006</v>
      </c>
      <c r="F267" s="253">
        <v>0.21</v>
      </c>
      <c r="G267" s="253">
        <v>16.46</v>
      </c>
      <c r="H267" s="253">
        <v>16.46</v>
      </c>
      <c r="I267" s="256">
        <v>1E-4</v>
      </c>
      <c r="J267" s="257">
        <v>200548.42</v>
      </c>
      <c r="K267" s="256">
        <v>0.99860000000000004</v>
      </c>
    </row>
    <row r="268" spans="1:11" ht="30">
      <c r="A268" s="253" t="s">
        <v>1814</v>
      </c>
      <c r="B268" s="253" t="s">
        <v>427</v>
      </c>
      <c r="C268" s="254" t="s">
        <v>1815</v>
      </c>
      <c r="D268" s="253" t="s">
        <v>1576</v>
      </c>
      <c r="E268" s="255">
        <v>99.98</v>
      </c>
      <c r="F268" s="253">
        <v>0.16</v>
      </c>
      <c r="G268" s="253">
        <v>16</v>
      </c>
      <c r="H268" s="253">
        <v>16</v>
      </c>
      <c r="I268" s="256">
        <v>1E-4</v>
      </c>
      <c r="J268" s="257">
        <v>200564.42</v>
      </c>
      <c r="K268" s="256">
        <v>0.99870000000000003</v>
      </c>
    </row>
    <row r="269" spans="1:11">
      <c r="A269" s="253">
        <v>6146</v>
      </c>
      <c r="B269" s="253" t="s">
        <v>431</v>
      </c>
      <c r="C269" s="254" t="s">
        <v>1816</v>
      </c>
      <c r="D269" s="253" t="s">
        <v>8</v>
      </c>
      <c r="E269" s="255">
        <v>1</v>
      </c>
      <c r="F269" s="253">
        <v>15.99</v>
      </c>
      <c r="G269" s="253">
        <v>15.99</v>
      </c>
      <c r="H269" s="253">
        <v>15.99</v>
      </c>
      <c r="I269" s="256">
        <v>1E-4</v>
      </c>
      <c r="J269" s="257">
        <v>200580.41</v>
      </c>
      <c r="K269" s="256">
        <v>0.99880000000000002</v>
      </c>
    </row>
    <row r="270" spans="1:11" ht="30">
      <c r="A270" s="253" t="s">
        <v>1817</v>
      </c>
      <c r="B270" s="253" t="s">
        <v>427</v>
      </c>
      <c r="C270" s="254" t="s">
        <v>1818</v>
      </c>
      <c r="D270" s="253" t="s">
        <v>1576</v>
      </c>
      <c r="E270" s="255">
        <v>29.466666</v>
      </c>
      <c r="F270" s="253">
        <v>0.54</v>
      </c>
      <c r="G270" s="253">
        <v>15.91</v>
      </c>
      <c r="H270" s="253">
        <v>15.91</v>
      </c>
      <c r="I270" s="256">
        <v>1E-4</v>
      </c>
      <c r="J270" s="257">
        <v>200596.32</v>
      </c>
      <c r="K270" s="256">
        <v>0.99890000000000001</v>
      </c>
    </row>
    <row r="271" spans="1:11" ht="30">
      <c r="A271" s="253" t="s">
        <v>1819</v>
      </c>
      <c r="B271" s="253" t="s">
        <v>427</v>
      </c>
      <c r="C271" s="254" t="s">
        <v>1820</v>
      </c>
      <c r="D271" s="253" t="s">
        <v>1576</v>
      </c>
      <c r="E271" s="255">
        <v>91.718257600000001</v>
      </c>
      <c r="F271" s="253">
        <v>0.16</v>
      </c>
      <c r="G271" s="253">
        <v>14.67</v>
      </c>
      <c r="H271" s="253">
        <v>14.67</v>
      </c>
      <c r="I271" s="256">
        <v>1E-4</v>
      </c>
      <c r="J271" s="257">
        <v>200611</v>
      </c>
      <c r="K271" s="256">
        <v>0.99890000000000001</v>
      </c>
    </row>
    <row r="272" spans="1:11" ht="30">
      <c r="A272" s="253" t="s">
        <v>1821</v>
      </c>
      <c r="B272" s="253" t="s">
        <v>427</v>
      </c>
      <c r="C272" s="254" t="s">
        <v>1822</v>
      </c>
      <c r="D272" s="253" t="s">
        <v>476</v>
      </c>
      <c r="E272" s="255">
        <v>3.2679999999999998</v>
      </c>
      <c r="F272" s="253">
        <v>4.49</v>
      </c>
      <c r="G272" s="253">
        <v>14.67</v>
      </c>
      <c r="H272" s="253">
        <v>14.67</v>
      </c>
      <c r="I272" s="256">
        <v>1E-4</v>
      </c>
      <c r="J272" s="257">
        <v>200625.67</v>
      </c>
      <c r="K272" s="256">
        <v>0.999</v>
      </c>
    </row>
    <row r="273" spans="1:11" ht="30">
      <c r="A273" s="253" t="s">
        <v>1823</v>
      </c>
      <c r="B273" s="253" t="s">
        <v>427</v>
      </c>
      <c r="C273" s="254" t="s">
        <v>1824</v>
      </c>
      <c r="D273" s="253" t="s">
        <v>1576</v>
      </c>
      <c r="E273" s="255">
        <v>19.496110699999999</v>
      </c>
      <c r="F273" s="253">
        <v>0.74</v>
      </c>
      <c r="G273" s="253">
        <v>14.43</v>
      </c>
      <c r="H273" s="253">
        <v>14.43</v>
      </c>
      <c r="I273" s="256">
        <v>1E-4</v>
      </c>
      <c r="J273" s="257">
        <v>200640.1</v>
      </c>
      <c r="K273" s="256">
        <v>0.99909999999999999</v>
      </c>
    </row>
    <row r="274" spans="1:11" ht="30">
      <c r="A274" s="253" t="s">
        <v>1825</v>
      </c>
      <c r="B274" s="253" t="s">
        <v>427</v>
      </c>
      <c r="C274" s="254" t="s">
        <v>937</v>
      </c>
      <c r="D274" s="253" t="s">
        <v>472</v>
      </c>
      <c r="E274" s="255">
        <v>1.8126</v>
      </c>
      <c r="F274" s="253">
        <v>7.77</v>
      </c>
      <c r="G274" s="253">
        <v>14.08</v>
      </c>
      <c r="H274" s="253">
        <v>14.08</v>
      </c>
      <c r="I274" s="256">
        <v>1E-4</v>
      </c>
      <c r="J274" s="257">
        <v>200654.18</v>
      </c>
      <c r="K274" s="256">
        <v>0.99919999999999998</v>
      </c>
    </row>
    <row r="275" spans="1:11" ht="45">
      <c r="A275" s="253" t="s">
        <v>1826</v>
      </c>
      <c r="B275" s="253" t="s">
        <v>427</v>
      </c>
      <c r="C275" s="254" t="s">
        <v>1827</v>
      </c>
      <c r="D275" s="253" t="s">
        <v>676</v>
      </c>
      <c r="E275" s="255">
        <v>95.282880000000006</v>
      </c>
      <c r="F275" s="253">
        <v>0.14000000000000001</v>
      </c>
      <c r="G275" s="253">
        <v>13.34</v>
      </c>
      <c r="H275" s="253">
        <v>13.34</v>
      </c>
      <c r="I275" s="256">
        <v>1E-4</v>
      </c>
      <c r="J275" s="257">
        <v>200667.51999999999</v>
      </c>
      <c r="K275" s="256">
        <v>0.99919999999999998</v>
      </c>
    </row>
    <row r="276" spans="1:11" ht="30">
      <c r="A276" s="253">
        <v>7137</v>
      </c>
      <c r="B276" s="253" t="s">
        <v>431</v>
      </c>
      <c r="C276" s="254" t="s">
        <v>1235</v>
      </c>
      <c r="D276" s="253" t="s">
        <v>8</v>
      </c>
      <c r="E276" s="255">
        <v>1</v>
      </c>
      <c r="F276" s="253">
        <v>12.98</v>
      </c>
      <c r="G276" s="253">
        <v>12.98</v>
      </c>
      <c r="H276" s="253">
        <v>12.98</v>
      </c>
      <c r="I276" s="256">
        <v>1E-4</v>
      </c>
      <c r="J276" s="257">
        <v>200680.5</v>
      </c>
      <c r="K276" s="256">
        <v>0.99929999999999997</v>
      </c>
    </row>
    <row r="277" spans="1:11" ht="30">
      <c r="A277" s="253">
        <v>7139</v>
      </c>
      <c r="B277" s="253" t="s">
        <v>431</v>
      </c>
      <c r="C277" s="254" t="s">
        <v>1231</v>
      </c>
      <c r="D277" s="253" t="s">
        <v>8</v>
      </c>
      <c r="E277" s="255">
        <v>7</v>
      </c>
      <c r="F277" s="253">
        <v>1.83</v>
      </c>
      <c r="G277" s="253">
        <v>12.81</v>
      </c>
      <c r="H277" s="253">
        <v>12.81</v>
      </c>
      <c r="I277" s="256">
        <v>1E-4</v>
      </c>
      <c r="J277" s="257">
        <v>200693.31</v>
      </c>
      <c r="K277" s="256">
        <v>0.99929999999999997</v>
      </c>
    </row>
    <row r="278" spans="1:11">
      <c r="A278" s="253">
        <v>3904</v>
      </c>
      <c r="B278" s="253" t="s">
        <v>431</v>
      </c>
      <c r="C278" s="254" t="s">
        <v>1248</v>
      </c>
      <c r="D278" s="253" t="s">
        <v>8</v>
      </c>
      <c r="E278" s="255">
        <v>11</v>
      </c>
      <c r="F278" s="253">
        <v>1.1599999999999999</v>
      </c>
      <c r="G278" s="253">
        <v>12.76</v>
      </c>
      <c r="H278" s="253">
        <v>12.76</v>
      </c>
      <c r="I278" s="256">
        <v>1E-4</v>
      </c>
      <c r="J278" s="257">
        <v>200706.07</v>
      </c>
      <c r="K278" s="256">
        <v>0.99939999999999996</v>
      </c>
    </row>
    <row r="279" spans="1:11" ht="30">
      <c r="A279" s="253">
        <v>3526</v>
      </c>
      <c r="B279" s="253" t="s">
        <v>431</v>
      </c>
      <c r="C279" s="254" t="s">
        <v>1176</v>
      </c>
      <c r="D279" s="253" t="s">
        <v>8</v>
      </c>
      <c r="E279" s="255">
        <v>4</v>
      </c>
      <c r="F279" s="253">
        <v>3.13</v>
      </c>
      <c r="G279" s="253">
        <v>12.52</v>
      </c>
      <c r="H279" s="253">
        <v>12.52</v>
      </c>
      <c r="I279" s="256">
        <v>1E-4</v>
      </c>
      <c r="J279" s="257">
        <v>200718.59</v>
      </c>
      <c r="K279" s="256">
        <v>0.99950000000000006</v>
      </c>
    </row>
    <row r="280" spans="1:11">
      <c r="A280" s="253" t="s">
        <v>1828</v>
      </c>
      <c r="B280" s="253" t="s">
        <v>427</v>
      </c>
      <c r="C280" s="254" t="s">
        <v>933</v>
      </c>
      <c r="D280" s="253" t="s">
        <v>472</v>
      </c>
      <c r="E280" s="255">
        <v>4.5632999999999999</v>
      </c>
      <c r="F280" s="253">
        <v>2.74</v>
      </c>
      <c r="G280" s="253">
        <v>12.5</v>
      </c>
      <c r="H280" s="253">
        <v>12.5</v>
      </c>
      <c r="I280" s="256">
        <v>1E-4</v>
      </c>
      <c r="J280" s="257">
        <v>200731.09</v>
      </c>
      <c r="K280" s="256">
        <v>0.99950000000000006</v>
      </c>
    </row>
    <row r="281" spans="1:11" ht="30">
      <c r="A281" s="253" t="s">
        <v>1829</v>
      </c>
      <c r="B281" s="253" t="s">
        <v>427</v>
      </c>
      <c r="C281" s="254" t="s">
        <v>496</v>
      </c>
      <c r="D281" s="253" t="s">
        <v>476</v>
      </c>
      <c r="E281" s="255">
        <v>0.65459999999999996</v>
      </c>
      <c r="F281" s="253">
        <v>18.760000000000002</v>
      </c>
      <c r="G281" s="253">
        <v>12.28</v>
      </c>
      <c r="H281" s="253">
        <v>12.28</v>
      </c>
      <c r="I281" s="256">
        <v>1E-4</v>
      </c>
      <c r="J281" s="257">
        <v>200743.37</v>
      </c>
      <c r="K281" s="256">
        <v>0.99960000000000004</v>
      </c>
    </row>
    <row r="282" spans="1:11" ht="30">
      <c r="A282" s="253">
        <v>43483</v>
      </c>
      <c r="B282" s="253" t="s">
        <v>431</v>
      </c>
      <c r="C282" s="254" t="s">
        <v>1830</v>
      </c>
      <c r="D282" s="253" t="s">
        <v>520</v>
      </c>
      <c r="E282" s="255">
        <v>9.4927299999999999</v>
      </c>
      <c r="F282" s="253">
        <v>1.26</v>
      </c>
      <c r="G282" s="253">
        <v>11.96</v>
      </c>
      <c r="H282" s="253">
        <v>11.96</v>
      </c>
      <c r="I282" s="256">
        <v>1E-4</v>
      </c>
      <c r="J282" s="257">
        <v>200755.33</v>
      </c>
      <c r="K282" s="256">
        <v>0.99970000000000003</v>
      </c>
    </row>
    <row r="283" spans="1:11">
      <c r="A283" s="253">
        <v>4222</v>
      </c>
      <c r="B283" s="253" t="s">
        <v>431</v>
      </c>
      <c r="C283" s="254" t="s">
        <v>1831</v>
      </c>
      <c r="D283" s="253" t="s">
        <v>816</v>
      </c>
      <c r="E283" s="255">
        <v>1.6332309</v>
      </c>
      <c r="F283" s="253">
        <v>6.92</v>
      </c>
      <c r="G283" s="253">
        <v>11.3</v>
      </c>
      <c r="H283" s="253">
        <v>11.3</v>
      </c>
      <c r="I283" s="256">
        <v>1E-4</v>
      </c>
      <c r="J283" s="257">
        <v>200766.64</v>
      </c>
      <c r="K283" s="256">
        <v>0.99970000000000003</v>
      </c>
    </row>
    <row r="284" spans="1:11">
      <c r="A284" s="253">
        <v>44499</v>
      </c>
      <c r="B284" s="253" t="s">
        <v>431</v>
      </c>
      <c r="C284" s="254" t="s">
        <v>1832</v>
      </c>
      <c r="D284" s="253" t="s">
        <v>520</v>
      </c>
      <c r="E284" s="255">
        <v>0.84786570000000006</v>
      </c>
      <c r="F284" s="253">
        <v>12.88</v>
      </c>
      <c r="G284" s="253">
        <v>10.92</v>
      </c>
      <c r="H284" s="253">
        <v>10.92</v>
      </c>
      <c r="I284" s="256">
        <v>1E-4</v>
      </c>
      <c r="J284" s="257">
        <v>200777.56</v>
      </c>
      <c r="K284" s="256">
        <v>0.99980000000000002</v>
      </c>
    </row>
    <row r="285" spans="1:11" ht="30">
      <c r="A285" s="253" t="s">
        <v>1833</v>
      </c>
      <c r="B285" s="253" t="s">
        <v>427</v>
      </c>
      <c r="C285" s="254" t="s">
        <v>1834</v>
      </c>
      <c r="D285" s="253" t="s">
        <v>1576</v>
      </c>
      <c r="E285" s="255">
        <v>29.466666</v>
      </c>
      <c r="F285" s="253">
        <v>0.37</v>
      </c>
      <c r="G285" s="253">
        <v>10.9</v>
      </c>
      <c r="H285" s="253">
        <v>10.9</v>
      </c>
      <c r="I285" s="256">
        <v>1E-4</v>
      </c>
      <c r="J285" s="257">
        <v>200788.46</v>
      </c>
      <c r="K285" s="256">
        <v>0.99980000000000002</v>
      </c>
    </row>
    <row r="286" spans="1:11">
      <c r="A286" s="253" t="s">
        <v>1835</v>
      </c>
      <c r="B286" s="253" t="s">
        <v>427</v>
      </c>
      <c r="C286" s="254" t="s">
        <v>1384</v>
      </c>
      <c r="D286" s="253" t="s">
        <v>671</v>
      </c>
      <c r="E286" s="255">
        <v>3.8712</v>
      </c>
      <c r="F286" s="253">
        <v>2.76</v>
      </c>
      <c r="G286" s="253">
        <v>10.68</v>
      </c>
      <c r="H286" s="253">
        <v>10.68</v>
      </c>
      <c r="I286" s="256">
        <v>1E-4</v>
      </c>
      <c r="J286" s="257">
        <v>200799.14</v>
      </c>
      <c r="K286" s="256">
        <v>0.99990000000000001</v>
      </c>
    </row>
    <row r="287" spans="1:11" ht="30">
      <c r="A287" s="253">
        <v>1574</v>
      </c>
      <c r="B287" s="253" t="s">
        <v>431</v>
      </c>
      <c r="C287" s="254" t="s">
        <v>1269</v>
      </c>
      <c r="D287" s="253" t="s">
        <v>8</v>
      </c>
      <c r="E287" s="255">
        <v>6</v>
      </c>
      <c r="F287" s="253">
        <v>1.71</v>
      </c>
      <c r="G287" s="253">
        <v>10.26</v>
      </c>
      <c r="H287" s="253">
        <v>10.26</v>
      </c>
      <c r="I287" s="256">
        <v>1E-4</v>
      </c>
      <c r="J287" s="257">
        <v>200809.4</v>
      </c>
      <c r="K287" s="256">
        <v>0.99990000000000001</v>
      </c>
    </row>
    <row r="288" spans="1:11">
      <c r="A288" s="253" t="s">
        <v>1836</v>
      </c>
      <c r="B288" s="253" t="s">
        <v>427</v>
      </c>
      <c r="C288" s="254" t="s">
        <v>1837</v>
      </c>
      <c r="D288" s="253" t="s">
        <v>542</v>
      </c>
      <c r="E288" s="255">
        <v>2</v>
      </c>
      <c r="F288" s="253">
        <v>4.72</v>
      </c>
      <c r="G288" s="253">
        <v>9.44</v>
      </c>
      <c r="H288" s="253">
        <v>9.44</v>
      </c>
      <c r="I288" s="256">
        <v>0</v>
      </c>
      <c r="J288" s="257">
        <v>200818.84</v>
      </c>
      <c r="K288" s="256">
        <v>1</v>
      </c>
    </row>
    <row r="289" spans="1:11">
      <c r="A289" s="253" t="s">
        <v>1838</v>
      </c>
      <c r="B289" s="253" t="s">
        <v>427</v>
      </c>
      <c r="C289" s="254" t="s">
        <v>697</v>
      </c>
      <c r="D289" s="253" t="s">
        <v>676</v>
      </c>
      <c r="E289" s="255">
        <v>73.25</v>
      </c>
      <c r="F289" s="253">
        <v>0.12</v>
      </c>
      <c r="G289" s="253">
        <v>8.7899999999999991</v>
      </c>
      <c r="H289" s="253">
        <v>8.7899999999999991</v>
      </c>
      <c r="I289" s="256">
        <v>0</v>
      </c>
      <c r="J289" s="257">
        <v>200827.63</v>
      </c>
      <c r="K289" s="256">
        <v>1</v>
      </c>
    </row>
    <row r="290" spans="1:11" ht="75">
      <c r="A290" s="253">
        <v>39813</v>
      </c>
      <c r="B290" s="253" t="s">
        <v>431</v>
      </c>
      <c r="C290" s="254" t="s">
        <v>1839</v>
      </c>
      <c r="D290" s="253" t="s">
        <v>8</v>
      </c>
      <c r="E290" s="255">
        <v>2.7510000000000002E-4</v>
      </c>
      <c r="F290" s="257">
        <v>30783.51</v>
      </c>
      <c r="G290" s="253">
        <v>8.4700000000000006</v>
      </c>
      <c r="H290" s="253">
        <v>8.4700000000000006</v>
      </c>
      <c r="I290" s="256">
        <v>0</v>
      </c>
      <c r="J290" s="257">
        <v>200836.1</v>
      </c>
      <c r="K290" s="256">
        <v>1.0001</v>
      </c>
    </row>
    <row r="291" spans="1:11" ht="30">
      <c r="A291" s="253">
        <v>3897</v>
      </c>
      <c r="B291" s="253" t="s">
        <v>431</v>
      </c>
      <c r="C291" s="254" t="s">
        <v>1185</v>
      </c>
      <c r="D291" s="253" t="s">
        <v>8</v>
      </c>
      <c r="E291" s="255">
        <v>5</v>
      </c>
      <c r="F291" s="253">
        <v>1.66</v>
      </c>
      <c r="G291" s="253">
        <v>8.3000000000000007</v>
      </c>
      <c r="H291" s="253">
        <v>8.3000000000000007</v>
      </c>
      <c r="I291" s="256">
        <v>0</v>
      </c>
      <c r="J291" s="257">
        <v>200844.4</v>
      </c>
      <c r="K291" s="256">
        <v>1.0001</v>
      </c>
    </row>
    <row r="292" spans="1:11" ht="30">
      <c r="A292" s="253" t="s">
        <v>1840</v>
      </c>
      <c r="B292" s="253" t="s">
        <v>427</v>
      </c>
      <c r="C292" s="254" t="s">
        <v>1841</v>
      </c>
      <c r="D292" s="253" t="s">
        <v>1576</v>
      </c>
      <c r="E292" s="255">
        <v>37.8601964</v>
      </c>
      <c r="F292" s="253">
        <v>0.2</v>
      </c>
      <c r="G292" s="253">
        <v>7.57</v>
      </c>
      <c r="H292" s="253">
        <v>7.57</v>
      </c>
      <c r="I292" s="256">
        <v>0</v>
      </c>
      <c r="J292" s="257">
        <v>200851.98</v>
      </c>
      <c r="K292" s="256">
        <v>1.0001</v>
      </c>
    </row>
    <row r="293" spans="1:11" ht="45">
      <c r="A293" s="253">
        <v>10535</v>
      </c>
      <c r="B293" s="253" t="s">
        <v>431</v>
      </c>
      <c r="C293" s="254" t="s">
        <v>1842</v>
      </c>
      <c r="D293" s="253" t="s">
        <v>8</v>
      </c>
      <c r="E293" s="255">
        <v>1.3526E-3</v>
      </c>
      <c r="F293" s="257">
        <v>5475</v>
      </c>
      <c r="G293" s="253">
        <v>7.41</v>
      </c>
      <c r="H293" s="253">
        <v>7.41</v>
      </c>
      <c r="I293" s="256">
        <v>0</v>
      </c>
      <c r="J293" s="257">
        <v>200859.38</v>
      </c>
      <c r="K293" s="256">
        <v>1.0002</v>
      </c>
    </row>
    <row r="294" spans="1:11">
      <c r="A294" s="253">
        <v>5061</v>
      </c>
      <c r="B294" s="253" t="s">
        <v>431</v>
      </c>
      <c r="C294" s="254" t="s">
        <v>728</v>
      </c>
      <c r="D294" s="253" t="s">
        <v>60</v>
      </c>
      <c r="E294" s="255">
        <v>0.36842000000000003</v>
      </c>
      <c r="F294" s="253">
        <v>20.100000000000001</v>
      </c>
      <c r="G294" s="253">
        <v>7.41</v>
      </c>
      <c r="H294" s="253">
        <v>7.41</v>
      </c>
      <c r="I294" s="256">
        <v>0</v>
      </c>
      <c r="J294" s="257">
        <v>200866.79</v>
      </c>
      <c r="K294" s="256">
        <v>1.0002</v>
      </c>
    </row>
    <row r="295" spans="1:11" ht="30">
      <c r="A295" s="253" t="s">
        <v>1843</v>
      </c>
      <c r="B295" s="253" t="s">
        <v>427</v>
      </c>
      <c r="C295" s="254" t="s">
        <v>501</v>
      </c>
      <c r="D295" s="253" t="s">
        <v>476</v>
      </c>
      <c r="E295" s="255">
        <v>0.65459999999999996</v>
      </c>
      <c r="F295" s="253">
        <v>11.28</v>
      </c>
      <c r="G295" s="253">
        <v>7.38</v>
      </c>
      <c r="H295" s="253">
        <v>7.38</v>
      </c>
      <c r="I295" s="256">
        <v>0</v>
      </c>
      <c r="J295" s="257">
        <v>200874.17</v>
      </c>
      <c r="K295" s="256">
        <v>1.0003</v>
      </c>
    </row>
    <row r="296" spans="1:11" ht="30">
      <c r="A296" s="253">
        <v>5104</v>
      </c>
      <c r="B296" s="253" t="s">
        <v>431</v>
      </c>
      <c r="C296" s="254" t="s">
        <v>730</v>
      </c>
      <c r="D296" s="253" t="s">
        <v>60</v>
      </c>
      <c r="E296" s="255">
        <v>6.8015999999999993E-2</v>
      </c>
      <c r="F296" s="253">
        <v>100.92</v>
      </c>
      <c r="G296" s="253">
        <v>6.86</v>
      </c>
      <c r="H296" s="253">
        <v>6.86</v>
      </c>
      <c r="I296" s="256">
        <v>0</v>
      </c>
      <c r="J296" s="257">
        <v>200881.03</v>
      </c>
      <c r="K296" s="256">
        <v>1.0003</v>
      </c>
    </row>
    <row r="297" spans="1:11" ht="30">
      <c r="A297" s="253" t="s">
        <v>1844</v>
      </c>
      <c r="B297" s="253" t="s">
        <v>427</v>
      </c>
      <c r="C297" s="254" t="s">
        <v>1845</v>
      </c>
      <c r="D297" s="253" t="s">
        <v>1576</v>
      </c>
      <c r="E297" s="255">
        <v>38.992221700000002</v>
      </c>
      <c r="F297" s="253">
        <v>0.16</v>
      </c>
      <c r="G297" s="253">
        <v>6.24</v>
      </c>
      <c r="H297" s="253">
        <v>6.24</v>
      </c>
      <c r="I297" s="256">
        <v>0</v>
      </c>
      <c r="J297" s="257">
        <v>200887.27</v>
      </c>
      <c r="K297" s="256">
        <v>1.0003</v>
      </c>
    </row>
    <row r="298" spans="1:11" ht="30">
      <c r="A298" s="253" t="s">
        <v>1846</v>
      </c>
      <c r="B298" s="253" t="s">
        <v>427</v>
      </c>
      <c r="C298" s="254" t="s">
        <v>1847</v>
      </c>
      <c r="D298" s="253" t="s">
        <v>1576</v>
      </c>
      <c r="E298" s="255">
        <v>38.829522300000001</v>
      </c>
      <c r="F298" s="253">
        <v>0.16</v>
      </c>
      <c r="G298" s="253">
        <v>6.21</v>
      </c>
      <c r="H298" s="253">
        <v>6.21</v>
      </c>
      <c r="I298" s="256">
        <v>0</v>
      </c>
      <c r="J298" s="257">
        <v>200893.49</v>
      </c>
      <c r="K298" s="256">
        <v>1.0003</v>
      </c>
    </row>
    <row r="299" spans="1:11">
      <c r="A299" s="253">
        <v>2705</v>
      </c>
      <c r="B299" s="253" t="s">
        <v>431</v>
      </c>
      <c r="C299" s="254" t="s">
        <v>1848</v>
      </c>
      <c r="D299" s="253" t="s">
        <v>1849</v>
      </c>
      <c r="E299" s="255">
        <v>5.9311258000000002</v>
      </c>
      <c r="F299" s="253">
        <v>1.04</v>
      </c>
      <c r="G299" s="253">
        <v>6.17</v>
      </c>
      <c r="H299" s="253">
        <v>6.17</v>
      </c>
      <c r="I299" s="256">
        <v>0</v>
      </c>
      <c r="J299" s="257">
        <v>200899.65</v>
      </c>
      <c r="K299" s="256">
        <v>1.0004</v>
      </c>
    </row>
    <row r="300" spans="1:11" ht="30">
      <c r="A300" s="253">
        <v>1570</v>
      </c>
      <c r="B300" s="253" t="s">
        <v>431</v>
      </c>
      <c r="C300" s="254" t="s">
        <v>1310</v>
      </c>
      <c r="D300" s="253" t="s">
        <v>8</v>
      </c>
      <c r="E300" s="255">
        <v>5</v>
      </c>
      <c r="F300" s="253">
        <v>1.02</v>
      </c>
      <c r="G300" s="253">
        <v>5.0999999999999996</v>
      </c>
      <c r="H300" s="253">
        <v>5.0999999999999996</v>
      </c>
      <c r="I300" s="256">
        <v>0</v>
      </c>
      <c r="J300" s="257">
        <v>200904.75</v>
      </c>
      <c r="K300" s="256">
        <v>1.0004</v>
      </c>
    </row>
    <row r="301" spans="1:11" ht="30">
      <c r="A301" s="253" t="s">
        <v>1850</v>
      </c>
      <c r="B301" s="253" t="s">
        <v>427</v>
      </c>
      <c r="C301" s="254" t="s">
        <v>1851</v>
      </c>
      <c r="D301" s="253" t="s">
        <v>1576</v>
      </c>
      <c r="E301" s="255">
        <v>45.756542799999998</v>
      </c>
      <c r="F301" s="253">
        <v>0.1</v>
      </c>
      <c r="G301" s="253">
        <v>4.58</v>
      </c>
      <c r="H301" s="253">
        <v>4.58</v>
      </c>
      <c r="I301" s="256">
        <v>0</v>
      </c>
      <c r="J301" s="257">
        <v>200909.33</v>
      </c>
      <c r="K301" s="256">
        <v>1.0004</v>
      </c>
    </row>
    <row r="302" spans="1:11" ht="30">
      <c r="A302" s="253">
        <v>43459</v>
      </c>
      <c r="B302" s="253" t="s">
        <v>431</v>
      </c>
      <c r="C302" s="254" t="s">
        <v>1852</v>
      </c>
      <c r="D302" s="253" t="s">
        <v>520</v>
      </c>
      <c r="E302" s="255">
        <v>9.4927299999999999</v>
      </c>
      <c r="F302" s="253">
        <v>0.45</v>
      </c>
      <c r="G302" s="253">
        <v>4.2699999999999996</v>
      </c>
      <c r="H302" s="253">
        <v>4.2699999999999996</v>
      </c>
      <c r="I302" s="256">
        <v>0</v>
      </c>
      <c r="J302" s="257">
        <v>200913.6</v>
      </c>
      <c r="K302" s="256">
        <v>1.0004</v>
      </c>
    </row>
    <row r="303" spans="1:11" ht="30">
      <c r="A303" s="253" t="s">
        <v>1853</v>
      </c>
      <c r="B303" s="253" t="s">
        <v>427</v>
      </c>
      <c r="C303" s="254" t="s">
        <v>1854</v>
      </c>
      <c r="D303" s="253" t="s">
        <v>676</v>
      </c>
      <c r="E303" s="255">
        <v>17.014800000000001</v>
      </c>
      <c r="F303" s="253">
        <v>0.25</v>
      </c>
      <c r="G303" s="253">
        <v>4.25</v>
      </c>
      <c r="H303" s="253">
        <v>4.25</v>
      </c>
      <c r="I303" s="256">
        <v>0</v>
      </c>
      <c r="J303" s="257">
        <v>200917.85</v>
      </c>
      <c r="K303" s="256">
        <v>1.0004999999999999</v>
      </c>
    </row>
    <row r="304" spans="1:11" ht="30">
      <c r="A304" s="253" t="s">
        <v>1855</v>
      </c>
      <c r="B304" s="253" t="s">
        <v>427</v>
      </c>
      <c r="C304" s="254" t="s">
        <v>1084</v>
      </c>
      <c r="D304" s="253" t="s">
        <v>476</v>
      </c>
      <c r="E304" s="255">
        <v>7.0000000000000007E-2</v>
      </c>
      <c r="F304" s="253">
        <v>59.19</v>
      </c>
      <c r="G304" s="253">
        <v>4.1399999999999997</v>
      </c>
      <c r="H304" s="253">
        <v>4.1399999999999997</v>
      </c>
      <c r="I304" s="256">
        <v>0</v>
      </c>
      <c r="J304" s="257">
        <v>200922</v>
      </c>
      <c r="K304" s="256">
        <v>1.0004999999999999</v>
      </c>
    </row>
    <row r="305" spans="1:11" ht="30">
      <c r="A305" s="253">
        <v>13458</v>
      </c>
      <c r="B305" s="253" t="s">
        <v>431</v>
      </c>
      <c r="C305" s="254" t="s">
        <v>1856</v>
      </c>
      <c r="D305" s="253" t="s">
        <v>8</v>
      </c>
      <c r="E305" s="255">
        <v>2.9129999999999998E-4</v>
      </c>
      <c r="F305" s="257">
        <v>13938.97</v>
      </c>
      <c r="G305" s="253">
        <v>4.0599999999999996</v>
      </c>
      <c r="H305" s="253">
        <v>4.0599999999999996</v>
      </c>
      <c r="I305" s="256">
        <v>0</v>
      </c>
      <c r="J305" s="257">
        <v>200926.06</v>
      </c>
      <c r="K305" s="256">
        <v>1.0004999999999999</v>
      </c>
    </row>
    <row r="306" spans="1:11" ht="30">
      <c r="A306" s="253">
        <v>6141</v>
      </c>
      <c r="B306" s="253" t="s">
        <v>431</v>
      </c>
      <c r="C306" s="254" t="s">
        <v>1857</v>
      </c>
      <c r="D306" s="253" t="s">
        <v>8</v>
      </c>
      <c r="E306" s="255">
        <v>1</v>
      </c>
      <c r="F306" s="253">
        <v>4.01</v>
      </c>
      <c r="G306" s="253">
        <v>4.01</v>
      </c>
      <c r="H306" s="253">
        <v>4.01</v>
      </c>
      <c r="I306" s="256">
        <v>0</v>
      </c>
      <c r="J306" s="257">
        <v>200930.07</v>
      </c>
      <c r="K306" s="256">
        <v>1.0004999999999999</v>
      </c>
    </row>
    <row r="307" spans="1:11" ht="30">
      <c r="A307" s="253">
        <v>3518</v>
      </c>
      <c r="B307" s="253" t="s">
        <v>431</v>
      </c>
      <c r="C307" s="254" t="s">
        <v>1168</v>
      </c>
      <c r="D307" s="253" t="s">
        <v>8</v>
      </c>
      <c r="E307" s="255">
        <v>1</v>
      </c>
      <c r="F307" s="253">
        <v>3.9</v>
      </c>
      <c r="G307" s="253">
        <v>3.9</v>
      </c>
      <c r="H307" s="253">
        <v>3.9</v>
      </c>
      <c r="I307" s="256">
        <v>0</v>
      </c>
      <c r="J307" s="257">
        <v>200933.97</v>
      </c>
      <c r="K307" s="256">
        <v>1.0004999999999999</v>
      </c>
    </row>
    <row r="308" spans="1:11" ht="30">
      <c r="A308" s="253">
        <v>11950</v>
      </c>
      <c r="B308" s="253" t="s">
        <v>431</v>
      </c>
      <c r="C308" s="254" t="s">
        <v>1361</v>
      </c>
      <c r="D308" s="253" t="s">
        <v>8</v>
      </c>
      <c r="E308" s="255">
        <v>24</v>
      </c>
      <c r="F308" s="253">
        <v>0.16</v>
      </c>
      <c r="G308" s="253">
        <v>3.84</v>
      </c>
      <c r="H308" s="253">
        <v>3.84</v>
      </c>
      <c r="I308" s="256">
        <v>0</v>
      </c>
      <c r="J308" s="257">
        <v>200937.81</v>
      </c>
      <c r="K308" s="256">
        <v>1.0005999999999999</v>
      </c>
    </row>
    <row r="309" spans="1:11" ht="30">
      <c r="A309" s="253" t="s">
        <v>1858</v>
      </c>
      <c r="B309" s="253" t="s">
        <v>427</v>
      </c>
      <c r="C309" s="254" t="s">
        <v>1859</v>
      </c>
      <c r="D309" s="253" t="s">
        <v>1576</v>
      </c>
      <c r="E309" s="255">
        <v>3.87</v>
      </c>
      <c r="F309" s="253">
        <v>0.94</v>
      </c>
      <c r="G309" s="253">
        <v>3.64</v>
      </c>
      <c r="H309" s="253">
        <v>3.64</v>
      </c>
      <c r="I309" s="256">
        <v>0</v>
      </c>
      <c r="J309" s="257">
        <v>200941.45</v>
      </c>
      <c r="K309" s="256">
        <v>1.0005999999999999</v>
      </c>
    </row>
    <row r="310" spans="1:11" ht="30">
      <c r="A310" s="253" t="s">
        <v>1860</v>
      </c>
      <c r="B310" s="253" t="s">
        <v>427</v>
      </c>
      <c r="C310" s="254" t="s">
        <v>1861</v>
      </c>
      <c r="D310" s="253" t="s">
        <v>1576</v>
      </c>
      <c r="E310" s="255">
        <v>3.87</v>
      </c>
      <c r="F310" s="253">
        <v>0.94</v>
      </c>
      <c r="G310" s="253">
        <v>3.64</v>
      </c>
      <c r="H310" s="253">
        <v>3.64</v>
      </c>
      <c r="I310" s="256">
        <v>0</v>
      </c>
      <c r="J310" s="257">
        <v>200945.08</v>
      </c>
      <c r="K310" s="256">
        <v>1.0005999999999999</v>
      </c>
    </row>
    <row r="311" spans="1:11" ht="30">
      <c r="A311" s="253">
        <v>6153</v>
      </c>
      <c r="B311" s="253" t="s">
        <v>431</v>
      </c>
      <c r="C311" s="254" t="s">
        <v>1862</v>
      </c>
      <c r="D311" s="253" t="s">
        <v>8</v>
      </c>
      <c r="E311" s="255">
        <v>1</v>
      </c>
      <c r="F311" s="253">
        <v>3.2</v>
      </c>
      <c r="G311" s="253">
        <v>3.2</v>
      </c>
      <c r="H311" s="253">
        <v>3.2</v>
      </c>
      <c r="I311" s="256">
        <v>0</v>
      </c>
      <c r="J311" s="257">
        <v>200948.28</v>
      </c>
      <c r="K311" s="256">
        <v>1.0005999999999999</v>
      </c>
    </row>
    <row r="312" spans="1:11">
      <c r="A312" s="253">
        <v>301</v>
      </c>
      <c r="B312" s="253" t="s">
        <v>431</v>
      </c>
      <c r="C312" s="254" t="s">
        <v>1863</v>
      </c>
      <c r="D312" s="253" t="s">
        <v>8</v>
      </c>
      <c r="E312" s="255">
        <v>1.0185759999999999</v>
      </c>
      <c r="F312" s="253">
        <v>2.94</v>
      </c>
      <c r="G312" s="253">
        <v>2.99</v>
      </c>
      <c r="H312" s="253">
        <v>2.99</v>
      </c>
      <c r="I312" s="256">
        <v>0</v>
      </c>
      <c r="J312" s="257">
        <v>200951.28</v>
      </c>
      <c r="K312" s="256">
        <v>1.0005999999999999</v>
      </c>
    </row>
    <row r="313" spans="1:11" ht="30">
      <c r="A313" s="253">
        <v>65</v>
      </c>
      <c r="B313" s="253" t="s">
        <v>431</v>
      </c>
      <c r="C313" s="254" t="s">
        <v>1239</v>
      </c>
      <c r="D313" s="253" t="s">
        <v>8</v>
      </c>
      <c r="E313" s="255">
        <v>2</v>
      </c>
      <c r="F313" s="253">
        <v>1.3</v>
      </c>
      <c r="G313" s="253">
        <v>2.6</v>
      </c>
      <c r="H313" s="253">
        <v>2.6</v>
      </c>
      <c r="I313" s="256">
        <v>0</v>
      </c>
      <c r="J313" s="257">
        <v>200953.88</v>
      </c>
      <c r="K313" s="256">
        <v>1.0005999999999999</v>
      </c>
    </row>
    <row r="314" spans="1:11">
      <c r="A314" s="253">
        <v>20080</v>
      </c>
      <c r="B314" s="253" t="s">
        <v>431</v>
      </c>
      <c r="C314" s="254" t="s">
        <v>1194</v>
      </c>
      <c r="D314" s="253" t="s">
        <v>8</v>
      </c>
      <c r="E314" s="255">
        <v>0.14280000000000001</v>
      </c>
      <c r="F314" s="253">
        <v>18.079999999999998</v>
      </c>
      <c r="G314" s="253">
        <v>2.58</v>
      </c>
      <c r="H314" s="253">
        <v>2.58</v>
      </c>
      <c r="I314" s="256">
        <v>0</v>
      </c>
      <c r="J314" s="257">
        <v>200956.46</v>
      </c>
      <c r="K314" s="256">
        <v>1.0006999999999999</v>
      </c>
    </row>
    <row r="315" spans="1:11">
      <c r="A315" s="253">
        <v>37329</v>
      </c>
      <c r="B315" s="253" t="s">
        <v>431</v>
      </c>
      <c r="C315" s="254" t="s">
        <v>1864</v>
      </c>
      <c r="D315" s="253" t="s">
        <v>60</v>
      </c>
      <c r="E315" s="255">
        <v>3.04E-2</v>
      </c>
      <c r="F315" s="253">
        <v>77.91</v>
      </c>
      <c r="G315" s="253">
        <v>2.37</v>
      </c>
      <c r="H315" s="253">
        <v>2.37</v>
      </c>
      <c r="I315" s="256">
        <v>0</v>
      </c>
      <c r="J315" s="257">
        <v>200958.83</v>
      </c>
      <c r="K315" s="256">
        <v>1.0006999999999999</v>
      </c>
    </row>
    <row r="316" spans="1:11" ht="45">
      <c r="A316" s="253">
        <v>37747</v>
      </c>
      <c r="B316" s="253" t="s">
        <v>431</v>
      </c>
      <c r="C316" s="254" t="s">
        <v>1865</v>
      </c>
      <c r="D316" s="253" t="s">
        <v>8</v>
      </c>
      <c r="E316" s="255">
        <v>4.6999999999999999E-6</v>
      </c>
      <c r="F316" s="257">
        <v>497467.73</v>
      </c>
      <c r="G316" s="253">
        <v>2.34</v>
      </c>
      <c r="H316" s="253">
        <v>2.34</v>
      </c>
      <c r="I316" s="256">
        <v>0</v>
      </c>
      <c r="J316" s="257">
        <v>200961.17</v>
      </c>
      <c r="K316" s="256">
        <v>1.0006999999999999</v>
      </c>
    </row>
    <row r="317" spans="1:11" ht="30">
      <c r="A317" s="253" t="s">
        <v>1866</v>
      </c>
      <c r="B317" s="253" t="s">
        <v>427</v>
      </c>
      <c r="C317" s="254" t="s">
        <v>1867</v>
      </c>
      <c r="D317" s="253" t="s">
        <v>1576</v>
      </c>
      <c r="E317" s="255">
        <v>1.796</v>
      </c>
      <c r="F317" s="253">
        <v>1.26</v>
      </c>
      <c r="G317" s="253">
        <v>2.2599999999999998</v>
      </c>
      <c r="H317" s="253">
        <v>2.2599999999999998</v>
      </c>
      <c r="I317" s="256">
        <v>0</v>
      </c>
      <c r="J317" s="257">
        <v>200963.43</v>
      </c>
      <c r="K317" s="256">
        <v>1.0006999999999999</v>
      </c>
    </row>
    <row r="318" spans="1:11">
      <c r="A318" s="253" t="s">
        <v>1868</v>
      </c>
      <c r="B318" s="253" t="s">
        <v>427</v>
      </c>
      <c r="C318" s="254" t="s">
        <v>1869</v>
      </c>
      <c r="D318" s="253" t="s">
        <v>1576</v>
      </c>
      <c r="E318" s="255">
        <v>1.796</v>
      </c>
      <c r="F318" s="253">
        <v>1.26</v>
      </c>
      <c r="G318" s="253">
        <v>2.2599999999999998</v>
      </c>
      <c r="H318" s="253">
        <v>2.2599999999999998</v>
      </c>
      <c r="I318" s="256">
        <v>0</v>
      </c>
      <c r="J318" s="257">
        <v>200965.69</v>
      </c>
      <c r="K318" s="256">
        <v>1.0006999999999999</v>
      </c>
    </row>
    <row r="319" spans="1:11" ht="30">
      <c r="A319" s="253" t="s">
        <v>1870</v>
      </c>
      <c r="B319" s="253" t="s">
        <v>427</v>
      </c>
      <c r="C319" s="254" t="s">
        <v>1871</v>
      </c>
      <c r="D319" s="253" t="s">
        <v>1576</v>
      </c>
      <c r="E319" s="255">
        <v>19.496110699999999</v>
      </c>
      <c r="F319" s="253">
        <v>0.11</v>
      </c>
      <c r="G319" s="253">
        <v>2.14</v>
      </c>
      <c r="H319" s="253">
        <v>2.14</v>
      </c>
      <c r="I319" s="256">
        <v>0</v>
      </c>
      <c r="J319" s="257">
        <v>200967.84</v>
      </c>
      <c r="K319" s="256">
        <v>1.0006999999999999</v>
      </c>
    </row>
    <row r="320" spans="1:11" ht="30">
      <c r="A320" s="253">
        <v>20142</v>
      </c>
      <c r="B320" s="253" t="s">
        <v>431</v>
      </c>
      <c r="C320" s="254" t="s">
        <v>1872</v>
      </c>
      <c r="D320" s="253" t="s">
        <v>8</v>
      </c>
      <c r="E320" s="255">
        <v>3.8511999999999998E-2</v>
      </c>
      <c r="F320" s="253">
        <v>46.7</v>
      </c>
      <c r="G320" s="253">
        <v>1.8</v>
      </c>
      <c r="H320" s="253">
        <v>1.8</v>
      </c>
      <c r="I320" s="256">
        <v>0</v>
      </c>
      <c r="J320" s="257">
        <v>200969.64</v>
      </c>
      <c r="K320" s="256">
        <v>1.0006999999999999</v>
      </c>
    </row>
    <row r="321" spans="1:11" ht="30">
      <c r="A321" s="253">
        <v>20143</v>
      </c>
      <c r="B321" s="253" t="s">
        <v>431</v>
      </c>
      <c r="C321" s="254" t="s">
        <v>1873</v>
      </c>
      <c r="D321" s="253" t="s">
        <v>8</v>
      </c>
      <c r="E321" s="255">
        <v>1.992E-2</v>
      </c>
      <c r="F321" s="253">
        <v>68.239999999999995</v>
      </c>
      <c r="G321" s="253">
        <v>1.36</v>
      </c>
      <c r="H321" s="253">
        <v>1.36</v>
      </c>
      <c r="I321" s="256">
        <v>0</v>
      </c>
      <c r="J321" s="257">
        <v>200971</v>
      </c>
      <c r="K321" s="256">
        <v>1.0006999999999999</v>
      </c>
    </row>
    <row r="322" spans="1:11">
      <c r="A322" s="253" t="s">
        <v>1874</v>
      </c>
      <c r="B322" s="253" t="s">
        <v>427</v>
      </c>
      <c r="C322" s="254" t="s">
        <v>1875</v>
      </c>
      <c r="D322" s="253" t="s">
        <v>542</v>
      </c>
      <c r="E322" s="255">
        <v>0.30023499999999997</v>
      </c>
      <c r="F322" s="253">
        <v>4.5199999999999996</v>
      </c>
      <c r="G322" s="253">
        <v>1.36</v>
      </c>
      <c r="H322" s="253">
        <v>1.36</v>
      </c>
      <c r="I322" s="256">
        <v>0</v>
      </c>
      <c r="J322" s="257">
        <v>200972.35</v>
      </c>
      <c r="K322" s="256">
        <v>1.0006999999999999</v>
      </c>
    </row>
    <row r="323" spans="1:11" ht="30">
      <c r="A323" s="253">
        <v>1571</v>
      </c>
      <c r="B323" s="253" t="s">
        <v>431</v>
      </c>
      <c r="C323" s="254" t="s">
        <v>1314</v>
      </c>
      <c r="D323" s="253" t="s">
        <v>8</v>
      </c>
      <c r="E323" s="255">
        <v>1</v>
      </c>
      <c r="F323" s="253">
        <v>1.32</v>
      </c>
      <c r="G323" s="253">
        <v>1.32</v>
      </c>
      <c r="H323" s="253">
        <v>1.32</v>
      </c>
      <c r="I323" s="256">
        <v>0</v>
      </c>
      <c r="J323" s="257">
        <v>200973.67</v>
      </c>
      <c r="K323" s="256">
        <v>1.0006999999999999</v>
      </c>
    </row>
    <row r="324" spans="1:11" ht="30">
      <c r="A324" s="253" t="s">
        <v>1876</v>
      </c>
      <c r="B324" s="253" t="s">
        <v>427</v>
      </c>
      <c r="C324" s="254" t="s">
        <v>1877</v>
      </c>
      <c r="D324" s="253" t="s">
        <v>1576</v>
      </c>
      <c r="E324" s="255">
        <v>3.87</v>
      </c>
      <c r="F324" s="253">
        <v>0.32</v>
      </c>
      <c r="G324" s="253">
        <v>1.24</v>
      </c>
      <c r="H324" s="253">
        <v>1.24</v>
      </c>
      <c r="I324" s="256">
        <v>0</v>
      </c>
      <c r="J324" s="257">
        <v>200974.91</v>
      </c>
      <c r="K324" s="256">
        <v>1.0007999999999999</v>
      </c>
    </row>
    <row r="325" spans="1:11" ht="30">
      <c r="A325" s="253" t="s">
        <v>1878</v>
      </c>
      <c r="B325" s="253" t="s">
        <v>427</v>
      </c>
      <c r="C325" s="254" t="s">
        <v>1879</v>
      </c>
      <c r="D325" s="253" t="s">
        <v>1576</v>
      </c>
      <c r="E325" s="255">
        <v>3.87</v>
      </c>
      <c r="F325" s="253">
        <v>0.32</v>
      </c>
      <c r="G325" s="253">
        <v>1.24</v>
      </c>
      <c r="H325" s="253">
        <v>1.24</v>
      </c>
      <c r="I325" s="256">
        <v>0</v>
      </c>
      <c r="J325" s="257">
        <v>200976.15</v>
      </c>
      <c r="K325" s="256">
        <v>1.0007999999999999</v>
      </c>
    </row>
    <row r="326" spans="1:11" ht="30">
      <c r="A326" s="253" t="s">
        <v>1880</v>
      </c>
      <c r="B326" s="253" t="s">
        <v>427</v>
      </c>
      <c r="C326" s="254" t="s">
        <v>1881</v>
      </c>
      <c r="D326" s="253" t="s">
        <v>1576</v>
      </c>
      <c r="E326" s="255">
        <v>7.84</v>
      </c>
      <c r="F326" s="253">
        <v>0.15</v>
      </c>
      <c r="G326" s="253">
        <v>1.18</v>
      </c>
      <c r="H326" s="253">
        <v>1.18</v>
      </c>
      <c r="I326" s="256">
        <v>0</v>
      </c>
      <c r="J326" s="257">
        <v>200977.33</v>
      </c>
      <c r="K326" s="256">
        <v>1.0007999999999999</v>
      </c>
    </row>
    <row r="327" spans="1:11">
      <c r="A327" s="253">
        <v>3146</v>
      </c>
      <c r="B327" s="253" t="s">
        <v>431</v>
      </c>
      <c r="C327" s="254" t="s">
        <v>1016</v>
      </c>
      <c r="D327" s="253" t="s">
        <v>8</v>
      </c>
      <c r="E327" s="255">
        <v>0.2432</v>
      </c>
      <c r="F327" s="253">
        <v>4.1500000000000004</v>
      </c>
      <c r="G327" s="253">
        <v>1.01</v>
      </c>
      <c r="H327" s="253">
        <v>1.01</v>
      </c>
      <c r="I327" s="256">
        <v>0</v>
      </c>
      <c r="J327" s="257">
        <v>200978.33</v>
      </c>
      <c r="K327" s="256">
        <v>1.0007999999999999</v>
      </c>
    </row>
    <row r="328" spans="1:11" ht="30">
      <c r="A328" s="253" t="s">
        <v>1882</v>
      </c>
      <c r="B328" s="253" t="s">
        <v>427</v>
      </c>
      <c r="C328" s="254" t="s">
        <v>1883</v>
      </c>
      <c r="D328" s="253" t="s">
        <v>1576</v>
      </c>
      <c r="E328" s="255">
        <v>3.87</v>
      </c>
      <c r="F328" s="253">
        <v>0.26</v>
      </c>
      <c r="G328" s="253">
        <v>1.01</v>
      </c>
      <c r="H328" s="253">
        <v>1.01</v>
      </c>
      <c r="I328" s="256">
        <v>0</v>
      </c>
      <c r="J328" s="257">
        <v>200979.34</v>
      </c>
      <c r="K328" s="256">
        <v>1.0007999999999999</v>
      </c>
    </row>
    <row r="329" spans="1:11" ht="30">
      <c r="A329" s="253" t="s">
        <v>1884</v>
      </c>
      <c r="B329" s="253" t="s">
        <v>427</v>
      </c>
      <c r="C329" s="254" t="s">
        <v>1885</v>
      </c>
      <c r="D329" s="253" t="s">
        <v>1576</v>
      </c>
      <c r="E329" s="255">
        <v>99.98</v>
      </c>
      <c r="F329" s="253">
        <v>0.01</v>
      </c>
      <c r="G329" s="253">
        <v>1</v>
      </c>
      <c r="H329" s="253">
        <v>1</v>
      </c>
      <c r="I329" s="256">
        <v>0</v>
      </c>
      <c r="J329" s="257">
        <v>200980.34</v>
      </c>
      <c r="K329" s="256">
        <v>1.0007999999999999</v>
      </c>
    </row>
    <row r="330" spans="1:11" ht="30">
      <c r="A330" s="253">
        <v>13896</v>
      </c>
      <c r="B330" s="253" t="s">
        <v>431</v>
      </c>
      <c r="C330" s="254" t="s">
        <v>1886</v>
      </c>
      <c r="D330" s="253" t="s">
        <v>8</v>
      </c>
      <c r="E330" s="255">
        <v>3.1129999999999998E-4</v>
      </c>
      <c r="F330" s="257">
        <v>3139.8</v>
      </c>
      <c r="G330" s="253">
        <v>0.98</v>
      </c>
      <c r="H330" s="253">
        <v>0.98</v>
      </c>
      <c r="I330" s="256">
        <v>0</v>
      </c>
      <c r="J330" s="257">
        <v>200981.32</v>
      </c>
      <c r="K330" s="256">
        <v>1.0007999999999999</v>
      </c>
    </row>
    <row r="331" spans="1:11">
      <c r="A331" s="253">
        <v>4093</v>
      </c>
      <c r="B331" s="253" t="s">
        <v>431</v>
      </c>
      <c r="C331" s="254" t="s">
        <v>1887</v>
      </c>
      <c r="D331" s="253" t="s">
        <v>520</v>
      </c>
      <c r="E331" s="255">
        <v>5.2197199999999999E-2</v>
      </c>
      <c r="F331" s="253">
        <v>17.75</v>
      </c>
      <c r="G331" s="253">
        <v>0.93</v>
      </c>
      <c r="H331" s="253">
        <v>0.93</v>
      </c>
      <c r="I331" s="256">
        <v>0</v>
      </c>
      <c r="J331" s="257">
        <v>200982.24</v>
      </c>
      <c r="K331" s="256">
        <v>1.0007999999999999</v>
      </c>
    </row>
    <row r="332" spans="1:11" ht="30">
      <c r="A332" s="253" t="s">
        <v>1888</v>
      </c>
      <c r="B332" s="253" t="s">
        <v>427</v>
      </c>
      <c r="C332" s="254" t="s">
        <v>1889</v>
      </c>
      <c r="D332" s="253" t="s">
        <v>1576</v>
      </c>
      <c r="E332" s="255">
        <v>1.796</v>
      </c>
      <c r="F332" s="253">
        <v>0.45</v>
      </c>
      <c r="G332" s="253">
        <v>0.81</v>
      </c>
      <c r="H332" s="253">
        <v>0.81</v>
      </c>
      <c r="I332" s="256">
        <v>0</v>
      </c>
      <c r="J332" s="257">
        <v>200983.05</v>
      </c>
      <c r="K332" s="256">
        <v>1.0007999999999999</v>
      </c>
    </row>
    <row r="333" spans="1:11" ht="30">
      <c r="A333" s="253" t="s">
        <v>1890</v>
      </c>
      <c r="B333" s="253" t="s">
        <v>427</v>
      </c>
      <c r="C333" s="254" t="s">
        <v>1891</v>
      </c>
      <c r="D333" s="253" t="s">
        <v>1576</v>
      </c>
      <c r="E333" s="255">
        <v>1.796</v>
      </c>
      <c r="F333" s="253">
        <v>0.45</v>
      </c>
      <c r="G333" s="253">
        <v>0.81</v>
      </c>
      <c r="H333" s="253">
        <v>0.81</v>
      </c>
      <c r="I333" s="256">
        <v>0</v>
      </c>
      <c r="J333" s="257">
        <v>200983.86</v>
      </c>
      <c r="K333" s="256">
        <v>1.0007999999999999</v>
      </c>
    </row>
    <row r="334" spans="1:11" ht="30">
      <c r="A334" s="253">
        <v>36487</v>
      </c>
      <c r="B334" s="253" t="s">
        <v>431</v>
      </c>
      <c r="C334" s="254" t="s">
        <v>1892</v>
      </c>
      <c r="D334" s="253" t="s">
        <v>8</v>
      </c>
      <c r="E334" s="255">
        <v>1.8770000000000001E-4</v>
      </c>
      <c r="F334" s="257">
        <v>3889.09</v>
      </c>
      <c r="G334" s="253">
        <v>0.73</v>
      </c>
      <c r="H334" s="253">
        <v>0.73</v>
      </c>
      <c r="I334" s="256">
        <v>0</v>
      </c>
      <c r="J334" s="257">
        <v>200984.59</v>
      </c>
      <c r="K334" s="256">
        <v>1.0007999999999999</v>
      </c>
    </row>
    <row r="335" spans="1:11" ht="30">
      <c r="A335" s="253" t="s">
        <v>1893</v>
      </c>
      <c r="B335" s="253" t="s">
        <v>427</v>
      </c>
      <c r="C335" s="254" t="s">
        <v>1894</v>
      </c>
      <c r="D335" s="253" t="s">
        <v>1576</v>
      </c>
      <c r="E335" s="255">
        <v>3.87</v>
      </c>
      <c r="F335" s="253">
        <v>0.18</v>
      </c>
      <c r="G335" s="253">
        <v>0.7</v>
      </c>
      <c r="H335" s="253">
        <v>0.7</v>
      </c>
      <c r="I335" s="256">
        <v>0</v>
      </c>
      <c r="J335" s="257">
        <v>200985.29</v>
      </c>
      <c r="K335" s="256">
        <v>1.0007999999999999</v>
      </c>
    </row>
    <row r="336" spans="1:11">
      <c r="A336" s="253" t="s">
        <v>1895</v>
      </c>
      <c r="B336" s="253" t="s">
        <v>427</v>
      </c>
      <c r="C336" s="254" t="s">
        <v>1092</v>
      </c>
      <c r="D336" s="253" t="s">
        <v>671</v>
      </c>
      <c r="E336" s="255">
        <v>2.1000000000000001E-2</v>
      </c>
      <c r="F336" s="253">
        <v>29.93</v>
      </c>
      <c r="G336" s="253">
        <v>0.63</v>
      </c>
      <c r="H336" s="253">
        <v>0.63</v>
      </c>
      <c r="I336" s="256">
        <v>0</v>
      </c>
      <c r="J336" s="257">
        <v>200985.92</v>
      </c>
      <c r="K336" s="256">
        <v>1.0007999999999999</v>
      </c>
    </row>
    <row r="337" spans="1:26" ht="30">
      <c r="A337" s="253">
        <v>43464</v>
      </c>
      <c r="B337" s="253" t="s">
        <v>431</v>
      </c>
      <c r="C337" s="254" t="s">
        <v>1896</v>
      </c>
      <c r="D337" s="253" t="s">
        <v>520</v>
      </c>
      <c r="E337" s="255">
        <v>56.856498500000001</v>
      </c>
      <c r="F337" s="253">
        <v>0.01</v>
      </c>
      <c r="G337" s="253">
        <v>0.56999999999999995</v>
      </c>
      <c r="H337" s="253">
        <v>0.56999999999999995</v>
      </c>
      <c r="I337" s="256">
        <v>0</v>
      </c>
      <c r="J337" s="257">
        <v>200986.48</v>
      </c>
      <c r="K337" s="256">
        <v>1.0007999999999999</v>
      </c>
    </row>
    <row r="338" spans="1:26" ht="60">
      <c r="A338" s="253">
        <v>37736</v>
      </c>
      <c r="B338" s="253" t="s">
        <v>431</v>
      </c>
      <c r="C338" s="254" t="s">
        <v>1897</v>
      </c>
      <c r="D338" s="253" t="s">
        <v>8</v>
      </c>
      <c r="E338" s="255">
        <v>6.0000000000000002E-6</v>
      </c>
      <c r="F338" s="257">
        <v>84300</v>
      </c>
      <c r="G338" s="253">
        <v>0.51</v>
      </c>
      <c r="H338" s="253">
        <v>0.51</v>
      </c>
      <c r="I338" s="256">
        <v>0</v>
      </c>
      <c r="J338" s="257">
        <v>200986.99</v>
      </c>
      <c r="K338" s="256">
        <v>1.0007999999999999</v>
      </c>
    </row>
    <row r="339" spans="1:26" ht="30">
      <c r="A339" s="253" t="s">
        <v>1898</v>
      </c>
      <c r="B339" s="253" t="s">
        <v>427</v>
      </c>
      <c r="C339" s="254" t="s">
        <v>1899</v>
      </c>
      <c r="D339" s="253" t="s">
        <v>1576</v>
      </c>
      <c r="E339" s="255">
        <v>45.756542799999998</v>
      </c>
      <c r="F339" s="253">
        <v>0.01</v>
      </c>
      <c r="G339" s="253">
        <v>0.46</v>
      </c>
      <c r="H339" s="253">
        <v>0.46</v>
      </c>
      <c r="I339" s="256">
        <v>0</v>
      </c>
      <c r="J339" s="257">
        <v>200987.45</v>
      </c>
      <c r="K339" s="256">
        <v>1.0007999999999999</v>
      </c>
    </row>
    <row r="340" spans="1:26" ht="60">
      <c r="A340" s="253" t="s">
        <v>1900</v>
      </c>
      <c r="B340" s="253" t="s">
        <v>427</v>
      </c>
      <c r="C340" s="254" t="s">
        <v>986</v>
      </c>
      <c r="D340" s="253" t="s">
        <v>676</v>
      </c>
      <c r="E340" s="255">
        <v>2</v>
      </c>
      <c r="F340" s="253">
        <v>0.22</v>
      </c>
      <c r="G340" s="253">
        <v>0.44</v>
      </c>
      <c r="H340" s="253">
        <v>0.44</v>
      </c>
      <c r="I340" s="256">
        <v>0</v>
      </c>
      <c r="J340" s="257">
        <v>200987.89</v>
      </c>
      <c r="K340" s="256">
        <v>1.0007999999999999</v>
      </c>
    </row>
    <row r="341" spans="1:26" ht="45">
      <c r="A341" s="253">
        <v>36397</v>
      </c>
      <c r="B341" s="253" t="s">
        <v>431</v>
      </c>
      <c r="C341" s="254" t="s">
        <v>1901</v>
      </c>
      <c r="D341" s="253" t="s">
        <v>8</v>
      </c>
      <c r="E341" s="255">
        <v>1.49E-5</v>
      </c>
      <c r="F341" s="257">
        <v>22271.18</v>
      </c>
      <c r="G341" s="253">
        <v>0.33</v>
      </c>
      <c r="H341" s="253">
        <v>0.33</v>
      </c>
      <c r="I341" s="256">
        <v>0</v>
      </c>
      <c r="J341" s="257">
        <v>200988.22</v>
      </c>
      <c r="K341" s="256">
        <v>1.0007999999999999</v>
      </c>
    </row>
    <row r="342" spans="1:26" ht="30">
      <c r="A342" s="253" t="s">
        <v>1902</v>
      </c>
      <c r="B342" s="253" t="s">
        <v>427</v>
      </c>
      <c r="C342" s="254" t="s">
        <v>1903</v>
      </c>
      <c r="D342" s="253" t="s">
        <v>1576</v>
      </c>
      <c r="E342" s="255">
        <v>1.796</v>
      </c>
      <c r="F342" s="253">
        <v>0.18</v>
      </c>
      <c r="G342" s="253">
        <v>0.32</v>
      </c>
      <c r="H342" s="253">
        <v>0.32</v>
      </c>
      <c r="I342" s="256">
        <v>0</v>
      </c>
      <c r="J342" s="257">
        <v>200988.54</v>
      </c>
      <c r="K342" s="256">
        <v>1.0007999999999999</v>
      </c>
    </row>
    <row r="343" spans="1:26" ht="30">
      <c r="A343" s="253" t="s">
        <v>1904</v>
      </c>
      <c r="B343" s="253" t="s">
        <v>427</v>
      </c>
      <c r="C343" s="254" t="s">
        <v>1905</v>
      </c>
      <c r="D343" s="253" t="s">
        <v>1576</v>
      </c>
      <c r="E343" s="255">
        <v>1.796</v>
      </c>
      <c r="F343" s="253">
        <v>0.16</v>
      </c>
      <c r="G343" s="253">
        <v>0.28999999999999998</v>
      </c>
      <c r="H343" s="253">
        <v>0.28999999999999998</v>
      </c>
      <c r="I343" s="256">
        <v>0</v>
      </c>
      <c r="J343" s="257">
        <v>200988.83</v>
      </c>
      <c r="K343" s="256">
        <v>1.0007999999999999</v>
      </c>
    </row>
    <row r="344" spans="1:26">
      <c r="A344" s="253">
        <v>3148</v>
      </c>
      <c r="B344" s="253" t="s">
        <v>431</v>
      </c>
      <c r="C344" s="254" t="s">
        <v>1220</v>
      </c>
      <c r="D344" s="253" t="s">
        <v>8</v>
      </c>
      <c r="E344" s="255">
        <v>1.06E-2</v>
      </c>
      <c r="F344" s="253">
        <v>15.3</v>
      </c>
      <c r="G344" s="253">
        <v>0.16</v>
      </c>
      <c r="H344" s="253">
        <v>0.16</v>
      </c>
      <c r="I344" s="256">
        <v>0</v>
      </c>
      <c r="J344" s="257">
        <v>200988.99</v>
      </c>
      <c r="K344" s="256">
        <v>1.0007999999999999</v>
      </c>
    </row>
    <row r="345" spans="1:26" ht="18.75" customHeight="1">
      <c r="A345" s="338" t="s">
        <v>1546</v>
      </c>
      <c r="B345" s="338"/>
      <c r="C345" s="338"/>
      <c r="D345" s="338"/>
      <c r="E345" s="338"/>
      <c r="F345" s="338"/>
      <c r="G345" s="338"/>
      <c r="H345" s="338" t="s">
        <v>1547</v>
      </c>
      <c r="I345" s="338"/>
      <c r="J345" s="91"/>
      <c r="K345" s="91"/>
    </row>
    <row r="346" spans="1:26" ht="21.75" customHeight="1">
      <c r="A346" s="338" t="s">
        <v>1906</v>
      </c>
      <c r="B346" s="338"/>
      <c r="C346" s="338"/>
      <c r="D346" s="338"/>
      <c r="E346" s="338"/>
      <c r="F346" s="338"/>
      <c r="G346" s="338"/>
      <c r="H346" s="338" t="s">
        <v>1549</v>
      </c>
      <c r="I346" s="338"/>
      <c r="J346" s="91"/>
      <c r="K346" s="91"/>
    </row>
    <row r="347" spans="1:26" ht="45">
      <c r="A347" s="258" t="s">
        <v>418</v>
      </c>
      <c r="B347" s="258" t="s">
        <v>419</v>
      </c>
      <c r="C347" s="259" t="s">
        <v>420</v>
      </c>
      <c r="D347" s="258" t="s">
        <v>421</v>
      </c>
      <c r="E347" s="258" t="s">
        <v>422</v>
      </c>
      <c r="F347" s="258" t="s">
        <v>423</v>
      </c>
      <c r="G347" s="258" t="s">
        <v>424</v>
      </c>
      <c r="H347" s="258" t="s">
        <v>1907</v>
      </c>
      <c r="I347" s="258" t="s">
        <v>1908</v>
      </c>
      <c r="J347" s="91"/>
      <c r="K347" s="91"/>
      <c r="L347" s="86"/>
      <c r="M347" s="86"/>
      <c r="N347" s="86"/>
      <c r="O347" s="86"/>
      <c r="P347" s="86"/>
      <c r="Q347" s="86"/>
      <c r="R347" s="86"/>
      <c r="S347" s="86"/>
      <c r="T347" s="86"/>
      <c r="U347" s="86"/>
      <c r="V347" s="86"/>
      <c r="W347" s="86"/>
      <c r="X347" s="86"/>
      <c r="Y347" s="86"/>
      <c r="Z347" s="86"/>
    </row>
    <row r="348" spans="1:26" ht="60">
      <c r="A348" s="260" t="s">
        <v>152</v>
      </c>
      <c r="B348" s="260" t="s">
        <v>427</v>
      </c>
      <c r="C348" s="261" t="s">
        <v>153</v>
      </c>
      <c r="D348" s="260" t="s">
        <v>31</v>
      </c>
      <c r="E348" s="260">
        <v>50.65</v>
      </c>
      <c r="F348" s="260">
        <v>795.13</v>
      </c>
      <c r="G348" s="262">
        <v>40273.33</v>
      </c>
      <c r="H348" s="260">
        <v>20.05</v>
      </c>
      <c r="I348" s="260">
        <v>20.05</v>
      </c>
      <c r="J348" s="91"/>
      <c r="K348" s="91"/>
    </row>
    <row r="349" spans="1:26">
      <c r="A349" s="260">
        <v>93572</v>
      </c>
      <c r="B349" s="260" t="s">
        <v>431</v>
      </c>
      <c r="C349" s="261" t="s">
        <v>432</v>
      </c>
      <c r="D349" s="260" t="s">
        <v>433</v>
      </c>
      <c r="E349" s="260">
        <v>4</v>
      </c>
      <c r="F349" s="262">
        <v>6238.91</v>
      </c>
      <c r="G349" s="262">
        <v>24955.64</v>
      </c>
      <c r="H349" s="260">
        <v>12.43</v>
      </c>
      <c r="I349" s="260">
        <v>32.479999999999997</v>
      </c>
      <c r="J349" s="91"/>
      <c r="K349" s="91"/>
    </row>
    <row r="350" spans="1:26" ht="45">
      <c r="A350" s="260" t="s">
        <v>158</v>
      </c>
      <c r="B350" s="260" t="s">
        <v>427</v>
      </c>
      <c r="C350" s="261" t="s">
        <v>1544</v>
      </c>
      <c r="D350" s="260" t="s">
        <v>451</v>
      </c>
      <c r="E350" s="263">
        <v>31.02</v>
      </c>
      <c r="F350" s="260">
        <v>362.35</v>
      </c>
      <c r="G350" s="262">
        <v>11240.09</v>
      </c>
      <c r="H350" s="260">
        <v>5.6</v>
      </c>
      <c r="I350" s="260">
        <v>38.08</v>
      </c>
      <c r="J350" s="91"/>
      <c r="K350" s="91"/>
    </row>
    <row r="351" spans="1:26" ht="45">
      <c r="A351" s="260" t="s">
        <v>121</v>
      </c>
      <c r="B351" s="260" t="s">
        <v>427</v>
      </c>
      <c r="C351" s="261" t="s">
        <v>122</v>
      </c>
      <c r="D351" s="260" t="s">
        <v>451</v>
      </c>
      <c r="E351" s="260">
        <v>152.61500000000001</v>
      </c>
      <c r="F351" s="260">
        <v>58.2</v>
      </c>
      <c r="G351" s="262">
        <v>8882.19</v>
      </c>
      <c r="H351" s="260">
        <v>4.42</v>
      </c>
      <c r="I351" s="260">
        <v>42.5</v>
      </c>
      <c r="J351" s="91"/>
      <c r="K351" s="91"/>
    </row>
    <row r="352" spans="1:26" ht="30">
      <c r="A352" s="260">
        <v>87794</v>
      </c>
      <c r="B352" s="260" t="s">
        <v>431</v>
      </c>
      <c r="C352" s="261" t="s">
        <v>119</v>
      </c>
      <c r="D352" s="260" t="s">
        <v>451</v>
      </c>
      <c r="E352" s="263">
        <v>229.32</v>
      </c>
      <c r="F352" s="260">
        <v>35.39</v>
      </c>
      <c r="G352" s="262">
        <v>8115.63</v>
      </c>
      <c r="H352" s="260">
        <v>4.04</v>
      </c>
      <c r="I352" s="260">
        <v>46.54</v>
      </c>
      <c r="J352" s="91"/>
      <c r="K352" s="91"/>
    </row>
    <row r="353" spans="1:11" ht="45">
      <c r="A353" s="260" t="s">
        <v>96</v>
      </c>
      <c r="B353" s="260" t="s">
        <v>427</v>
      </c>
      <c r="C353" s="261" t="s">
        <v>97</v>
      </c>
      <c r="D353" s="260" t="s">
        <v>451</v>
      </c>
      <c r="E353" s="263">
        <v>98</v>
      </c>
      <c r="F353" s="260">
        <v>82.71</v>
      </c>
      <c r="G353" s="262">
        <v>8105.58</v>
      </c>
      <c r="H353" s="260">
        <v>4.04</v>
      </c>
      <c r="I353" s="260">
        <v>50.58</v>
      </c>
      <c r="J353" s="91"/>
      <c r="K353" s="91"/>
    </row>
    <row r="354" spans="1:11" ht="60">
      <c r="A354" s="260" t="s">
        <v>75</v>
      </c>
      <c r="B354" s="260" t="s">
        <v>622</v>
      </c>
      <c r="C354" s="261" t="s">
        <v>76</v>
      </c>
      <c r="D354" s="260" t="s">
        <v>60</v>
      </c>
      <c r="E354" s="263">
        <v>559.98</v>
      </c>
      <c r="F354" s="260">
        <v>11.18</v>
      </c>
      <c r="G354" s="262">
        <v>6260.57</v>
      </c>
      <c r="H354" s="260">
        <v>3.12</v>
      </c>
      <c r="I354" s="260">
        <v>53.7</v>
      </c>
      <c r="J354" s="91"/>
      <c r="K354" s="91"/>
    </row>
    <row r="355" spans="1:11" ht="45">
      <c r="A355" s="260">
        <v>103322</v>
      </c>
      <c r="B355" s="260" t="s">
        <v>431</v>
      </c>
      <c r="C355" s="261" t="s">
        <v>113</v>
      </c>
      <c r="D355" s="260" t="s">
        <v>451</v>
      </c>
      <c r="E355" s="263">
        <v>114.66</v>
      </c>
      <c r="F355" s="260">
        <v>52.12</v>
      </c>
      <c r="G355" s="262">
        <v>5976.07</v>
      </c>
      <c r="H355" s="260">
        <v>2.98</v>
      </c>
      <c r="I355" s="260">
        <v>56.67</v>
      </c>
      <c r="J355" s="91"/>
      <c r="K355" s="91"/>
    </row>
    <row r="356" spans="1:11" ht="30">
      <c r="A356" s="260" t="s">
        <v>166</v>
      </c>
      <c r="B356" s="260" t="s">
        <v>427</v>
      </c>
      <c r="C356" s="261" t="s">
        <v>1536</v>
      </c>
      <c r="D356" s="260" t="s">
        <v>451</v>
      </c>
      <c r="E356" s="260">
        <v>34.770000000000003</v>
      </c>
      <c r="F356" s="260">
        <v>169.33</v>
      </c>
      <c r="G356" s="262">
        <v>5887.6</v>
      </c>
      <c r="H356" s="260">
        <v>2.93</v>
      </c>
      <c r="I356" s="260">
        <v>59.6</v>
      </c>
      <c r="J356" s="91"/>
      <c r="K356" s="91"/>
    </row>
    <row r="357" spans="1:11" ht="30">
      <c r="A357" s="260">
        <v>97092</v>
      </c>
      <c r="B357" s="260" t="s">
        <v>431</v>
      </c>
      <c r="C357" s="261" t="s">
        <v>69</v>
      </c>
      <c r="D357" s="260" t="s">
        <v>60</v>
      </c>
      <c r="E357" s="260">
        <v>321.990118</v>
      </c>
      <c r="F357" s="260">
        <v>18.100000000000001</v>
      </c>
      <c r="G357" s="262">
        <v>5828.02</v>
      </c>
      <c r="H357" s="260">
        <v>2.9</v>
      </c>
      <c r="I357" s="260">
        <v>62.5</v>
      </c>
      <c r="J357" s="91"/>
      <c r="K357" s="91"/>
    </row>
    <row r="358" spans="1:11" ht="45">
      <c r="A358" s="260">
        <v>97096</v>
      </c>
      <c r="B358" s="260" t="s">
        <v>431</v>
      </c>
      <c r="C358" s="261" t="s">
        <v>71</v>
      </c>
      <c r="D358" s="260" t="s">
        <v>468</v>
      </c>
      <c r="E358" s="260">
        <v>11.09</v>
      </c>
      <c r="F358" s="260">
        <v>472.85</v>
      </c>
      <c r="G358" s="262">
        <v>5243.9</v>
      </c>
      <c r="H358" s="260">
        <v>2.61</v>
      </c>
      <c r="I358" s="260">
        <v>65.12</v>
      </c>
      <c r="J358" s="91"/>
      <c r="K358" s="91"/>
    </row>
    <row r="359" spans="1:11" ht="45">
      <c r="A359" s="260">
        <v>100761</v>
      </c>
      <c r="B359" s="260" t="s">
        <v>431</v>
      </c>
      <c r="C359" s="261" t="s">
        <v>132</v>
      </c>
      <c r="D359" s="260" t="s">
        <v>451</v>
      </c>
      <c r="E359" s="260">
        <v>87.75</v>
      </c>
      <c r="F359" s="260">
        <v>41.47</v>
      </c>
      <c r="G359" s="262">
        <v>3638.99</v>
      </c>
      <c r="H359" s="260">
        <v>1.81</v>
      </c>
      <c r="I359" s="260">
        <v>66.930000000000007</v>
      </c>
      <c r="J359" s="91"/>
      <c r="K359" s="91"/>
    </row>
    <row r="360" spans="1:11" ht="30">
      <c r="A360" s="260">
        <v>94228</v>
      </c>
      <c r="B360" s="260" t="s">
        <v>431</v>
      </c>
      <c r="C360" s="261" t="s">
        <v>104</v>
      </c>
      <c r="D360" s="260" t="s">
        <v>31</v>
      </c>
      <c r="E360" s="260">
        <v>28.34</v>
      </c>
      <c r="F360" s="260">
        <v>112.79</v>
      </c>
      <c r="G360" s="262">
        <v>3196.46</v>
      </c>
      <c r="H360" s="260">
        <v>1.59</v>
      </c>
      <c r="I360" s="260">
        <v>68.52</v>
      </c>
      <c r="J360" s="91"/>
      <c r="K360" s="91"/>
    </row>
    <row r="361" spans="1:11" ht="30">
      <c r="A361" s="260">
        <v>92580</v>
      </c>
      <c r="B361" s="260" t="s">
        <v>431</v>
      </c>
      <c r="C361" s="261" t="s">
        <v>89</v>
      </c>
      <c r="D361" s="260" t="s">
        <v>451</v>
      </c>
      <c r="E361" s="260">
        <v>64.75</v>
      </c>
      <c r="F361" s="260">
        <v>47.41</v>
      </c>
      <c r="G361" s="262">
        <v>3069.79</v>
      </c>
      <c r="H361" s="260">
        <v>1.53</v>
      </c>
      <c r="I361" s="260">
        <v>70.05</v>
      </c>
      <c r="J361" s="91"/>
      <c r="K361" s="91"/>
    </row>
    <row r="362" spans="1:11" ht="30">
      <c r="A362" s="260" t="s">
        <v>91</v>
      </c>
      <c r="B362" s="260" t="s">
        <v>427</v>
      </c>
      <c r="C362" s="261" t="s">
        <v>92</v>
      </c>
      <c r="D362" s="260" t="s">
        <v>451</v>
      </c>
      <c r="E362" s="263">
        <v>98</v>
      </c>
      <c r="F362" s="260">
        <v>30.32</v>
      </c>
      <c r="G362" s="262">
        <v>2971.36</v>
      </c>
      <c r="H362" s="260">
        <v>1.48</v>
      </c>
      <c r="I362" s="260">
        <v>71.53</v>
      </c>
      <c r="J362" s="91"/>
      <c r="K362" s="91"/>
    </row>
    <row r="363" spans="1:11" ht="30">
      <c r="A363" s="260">
        <v>92979</v>
      </c>
      <c r="B363" s="260" t="s">
        <v>431</v>
      </c>
      <c r="C363" s="261" t="s">
        <v>278</v>
      </c>
      <c r="D363" s="260" t="s">
        <v>31</v>
      </c>
      <c r="E363" s="260">
        <v>300</v>
      </c>
      <c r="F363" s="260">
        <v>9.5299999999999994</v>
      </c>
      <c r="G363" s="262">
        <v>2859</v>
      </c>
      <c r="H363" s="260">
        <v>1.42</v>
      </c>
      <c r="I363" s="260">
        <v>72.95</v>
      </c>
      <c r="J363" s="91"/>
      <c r="K363" s="91"/>
    </row>
    <row r="364" spans="1:11">
      <c r="A364" s="260" t="s">
        <v>29</v>
      </c>
      <c r="B364" s="260" t="s">
        <v>427</v>
      </c>
      <c r="C364" s="261" t="s">
        <v>30</v>
      </c>
      <c r="D364" s="260" t="s">
        <v>31</v>
      </c>
      <c r="E364" s="260">
        <v>179.18</v>
      </c>
      <c r="F364" s="260">
        <v>15</v>
      </c>
      <c r="G364" s="262">
        <v>2687.7</v>
      </c>
      <c r="H364" s="260">
        <v>1.34</v>
      </c>
      <c r="I364" s="260">
        <v>74.290000000000006</v>
      </c>
      <c r="J364" s="91"/>
      <c r="K364" s="91"/>
    </row>
    <row r="365" spans="1:11" ht="30">
      <c r="A365" s="260" t="s">
        <v>149</v>
      </c>
      <c r="B365" s="260" t="s">
        <v>427</v>
      </c>
      <c r="C365" s="261" t="s">
        <v>871</v>
      </c>
      <c r="D365" s="260" t="s">
        <v>451</v>
      </c>
      <c r="E365" s="263">
        <v>9.4499999999999993</v>
      </c>
      <c r="F365" s="260">
        <v>278.35000000000002</v>
      </c>
      <c r="G365" s="262">
        <v>2630.4</v>
      </c>
      <c r="H365" s="260">
        <v>1.31</v>
      </c>
      <c r="I365" s="260">
        <v>75.599999999999994</v>
      </c>
      <c r="J365" s="91"/>
      <c r="K365" s="91"/>
    </row>
    <row r="366" spans="1:11" ht="45">
      <c r="A366" s="260">
        <v>89713</v>
      </c>
      <c r="B366" s="260" t="s">
        <v>431</v>
      </c>
      <c r="C366" s="261" t="s">
        <v>250</v>
      </c>
      <c r="D366" s="260" t="s">
        <v>31</v>
      </c>
      <c r="E366" s="260">
        <v>60</v>
      </c>
      <c r="F366" s="260">
        <v>43.77</v>
      </c>
      <c r="G366" s="262">
        <v>2626.2</v>
      </c>
      <c r="H366" s="260">
        <v>1.31</v>
      </c>
      <c r="I366" s="260">
        <v>76.91</v>
      </c>
      <c r="J366" s="91"/>
      <c r="K366" s="91"/>
    </row>
    <row r="367" spans="1:11" ht="30">
      <c r="A367" s="260" t="s">
        <v>54</v>
      </c>
      <c r="B367" s="260" t="s">
        <v>427</v>
      </c>
      <c r="C367" s="261" t="s">
        <v>55</v>
      </c>
      <c r="D367" s="260" t="s">
        <v>451</v>
      </c>
      <c r="E367" s="260">
        <v>44.96</v>
      </c>
      <c r="F367" s="260">
        <v>52.57</v>
      </c>
      <c r="G367" s="262">
        <v>2363.54</v>
      </c>
      <c r="H367" s="260">
        <v>1.18</v>
      </c>
      <c r="I367" s="260">
        <v>78.08</v>
      </c>
      <c r="J367" s="91"/>
      <c r="K367" s="91"/>
    </row>
    <row r="368" spans="1:11" ht="30">
      <c r="A368" s="260">
        <v>89356</v>
      </c>
      <c r="B368" s="260" t="s">
        <v>431</v>
      </c>
      <c r="C368" s="261" t="s">
        <v>271</v>
      </c>
      <c r="D368" s="260" t="s">
        <v>31</v>
      </c>
      <c r="E368" s="260">
        <v>96</v>
      </c>
      <c r="F368" s="260">
        <v>20.99</v>
      </c>
      <c r="G368" s="262">
        <v>2015.04</v>
      </c>
      <c r="H368" s="260">
        <v>1</v>
      </c>
      <c r="I368" s="260">
        <v>79.09</v>
      </c>
      <c r="J368" s="91"/>
      <c r="K368" s="91"/>
    </row>
    <row r="369" spans="1:11" ht="30">
      <c r="A369" s="260">
        <v>87251</v>
      </c>
      <c r="B369" s="260" t="s">
        <v>431</v>
      </c>
      <c r="C369" s="261" t="s">
        <v>140</v>
      </c>
      <c r="D369" s="260" t="s">
        <v>451</v>
      </c>
      <c r="E369" s="260">
        <v>41.5</v>
      </c>
      <c r="F369" s="260">
        <v>47.11</v>
      </c>
      <c r="G369" s="262">
        <v>1955.06</v>
      </c>
      <c r="H369" s="260">
        <v>0.97</v>
      </c>
      <c r="I369" s="260">
        <v>80.06</v>
      </c>
      <c r="J369" s="91"/>
      <c r="K369" s="91"/>
    </row>
    <row r="370" spans="1:11" ht="30">
      <c r="A370" s="260" t="s">
        <v>284</v>
      </c>
      <c r="B370" s="260" t="s">
        <v>427</v>
      </c>
      <c r="C370" s="261" t="s">
        <v>285</v>
      </c>
      <c r="D370" s="260" t="s">
        <v>31</v>
      </c>
      <c r="E370" s="260">
        <v>96</v>
      </c>
      <c r="F370" s="260">
        <v>20</v>
      </c>
      <c r="G370" s="262">
        <v>1920</v>
      </c>
      <c r="H370" s="260">
        <v>0.96</v>
      </c>
      <c r="I370" s="260">
        <v>81.02</v>
      </c>
      <c r="J370" s="91"/>
      <c r="K370" s="91"/>
    </row>
    <row r="371" spans="1:11" ht="30">
      <c r="A371" s="260">
        <v>88489</v>
      </c>
      <c r="B371" s="260" t="s">
        <v>431</v>
      </c>
      <c r="C371" s="261" t="s">
        <v>128</v>
      </c>
      <c r="D371" s="260" t="s">
        <v>451</v>
      </c>
      <c r="E371" s="260">
        <v>152.55000000000001</v>
      </c>
      <c r="F371" s="260">
        <v>12.37</v>
      </c>
      <c r="G371" s="262">
        <v>1887.04</v>
      </c>
      <c r="H371" s="260">
        <v>0.94</v>
      </c>
      <c r="I371" s="260">
        <v>81.96</v>
      </c>
      <c r="J371" s="91"/>
      <c r="K371" s="91"/>
    </row>
    <row r="372" spans="1:11" ht="30">
      <c r="A372" s="260">
        <v>88423</v>
      </c>
      <c r="B372" s="260" t="s">
        <v>431</v>
      </c>
      <c r="C372" s="261" t="s">
        <v>136</v>
      </c>
      <c r="D372" s="260" t="s">
        <v>451</v>
      </c>
      <c r="E372" s="260">
        <v>120.89</v>
      </c>
      <c r="F372" s="260">
        <v>14.37</v>
      </c>
      <c r="G372" s="262">
        <v>1737.18</v>
      </c>
      <c r="H372" s="260">
        <v>0.87</v>
      </c>
      <c r="I372" s="260">
        <v>82.82</v>
      </c>
      <c r="J372" s="91"/>
      <c r="K372" s="91"/>
    </row>
    <row r="373" spans="1:11" ht="45">
      <c r="A373" s="260">
        <v>91926</v>
      </c>
      <c r="B373" s="260" t="s">
        <v>431</v>
      </c>
      <c r="C373" s="261" t="s">
        <v>298</v>
      </c>
      <c r="D373" s="260" t="s">
        <v>31</v>
      </c>
      <c r="E373" s="260">
        <v>465</v>
      </c>
      <c r="F373" s="260">
        <v>3.73</v>
      </c>
      <c r="G373" s="262">
        <v>1734.45</v>
      </c>
      <c r="H373" s="260">
        <v>0.86</v>
      </c>
      <c r="I373" s="260">
        <v>83.69</v>
      </c>
      <c r="J373" s="91"/>
      <c r="K373" s="91"/>
    </row>
    <row r="374" spans="1:11" ht="30">
      <c r="A374" s="260" t="s">
        <v>198</v>
      </c>
      <c r="B374" s="260" t="s">
        <v>622</v>
      </c>
      <c r="C374" s="261" t="s">
        <v>199</v>
      </c>
      <c r="D374" s="260" t="s">
        <v>8</v>
      </c>
      <c r="E374" s="260">
        <v>1</v>
      </c>
      <c r="F374" s="262">
        <v>1364.52</v>
      </c>
      <c r="G374" s="262">
        <v>1364.52</v>
      </c>
      <c r="H374" s="260">
        <v>0.68</v>
      </c>
      <c r="I374" s="260">
        <v>84.37</v>
      </c>
      <c r="J374" s="91"/>
      <c r="K374" s="91"/>
    </row>
    <row r="375" spans="1:11" ht="45">
      <c r="A375" s="260">
        <v>96557</v>
      </c>
      <c r="B375" s="260" t="s">
        <v>431</v>
      </c>
      <c r="C375" s="261" t="s">
        <v>52</v>
      </c>
      <c r="D375" s="260" t="s">
        <v>468</v>
      </c>
      <c r="E375" s="263">
        <v>2.6139999999999999</v>
      </c>
      <c r="F375" s="260">
        <v>512.79999999999995</v>
      </c>
      <c r="G375" s="262">
        <v>1340.45</v>
      </c>
      <c r="H375" s="260">
        <v>0.67</v>
      </c>
      <c r="I375" s="260">
        <v>85.03</v>
      </c>
      <c r="J375" s="91"/>
      <c r="K375" s="91"/>
    </row>
    <row r="376" spans="1:11" ht="30">
      <c r="A376" s="260" t="s">
        <v>155</v>
      </c>
      <c r="B376" s="260" t="s">
        <v>427</v>
      </c>
      <c r="C376" s="261" t="s">
        <v>156</v>
      </c>
      <c r="D376" s="260" t="s">
        <v>451</v>
      </c>
      <c r="E376" s="260">
        <v>5.41</v>
      </c>
      <c r="F376" s="260">
        <v>241.72</v>
      </c>
      <c r="G376" s="262">
        <v>1307.7</v>
      </c>
      <c r="H376" s="260">
        <v>0.65</v>
      </c>
      <c r="I376" s="260">
        <v>85.68</v>
      </c>
      <c r="J376" s="91"/>
      <c r="K376" s="91"/>
    </row>
    <row r="377" spans="1:11" ht="30">
      <c r="A377" s="260">
        <v>98557</v>
      </c>
      <c r="B377" s="260" t="s">
        <v>431</v>
      </c>
      <c r="C377" s="261" t="s">
        <v>57</v>
      </c>
      <c r="D377" s="260" t="s">
        <v>451</v>
      </c>
      <c r="E377" s="260">
        <v>34.5</v>
      </c>
      <c r="F377" s="260">
        <v>36.22</v>
      </c>
      <c r="G377" s="262">
        <v>1249.5899999999999</v>
      </c>
      <c r="H377" s="260">
        <v>0.62</v>
      </c>
      <c r="I377" s="260">
        <v>86.31</v>
      </c>
      <c r="J377" s="91"/>
      <c r="K377" s="91"/>
    </row>
    <row r="378" spans="1:11">
      <c r="A378" s="260">
        <v>93358</v>
      </c>
      <c r="B378" s="260" t="s">
        <v>431</v>
      </c>
      <c r="C378" s="261" t="s">
        <v>45</v>
      </c>
      <c r="D378" s="260" t="s">
        <v>468</v>
      </c>
      <c r="E378" s="260">
        <v>18.600000000000001</v>
      </c>
      <c r="F378" s="260">
        <v>66.5</v>
      </c>
      <c r="G378" s="262">
        <v>1236.9000000000001</v>
      </c>
      <c r="H378" s="260">
        <v>0.62</v>
      </c>
      <c r="I378" s="260">
        <v>86.92</v>
      </c>
      <c r="J378" s="91"/>
      <c r="K378" s="91"/>
    </row>
    <row r="379" spans="1:11" ht="30">
      <c r="A379" s="260">
        <v>89711</v>
      </c>
      <c r="B379" s="260" t="s">
        <v>431</v>
      </c>
      <c r="C379" s="261" t="s">
        <v>203</v>
      </c>
      <c r="D379" s="260" t="s">
        <v>31</v>
      </c>
      <c r="E379" s="260">
        <v>61.36</v>
      </c>
      <c r="F379" s="260">
        <v>19.23</v>
      </c>
      <c r="G379" s="262">
        <v>1179.95</v>
      </c>
      <c r="H379" s="260">
        <v>0.59</v>
      </c>
      <c r="I379" s="260">
        <v>87.51</v>
      </c>
      <c r="J379" s="91"/>
      <c r="K379" s="91"/>
    </row>
    <row r="380" spans="1:11" ht="30">
      <c r="A380" s="260">
        <v>93205</v>
      </c>
      <c r="B380" s="260" t="s">
        <v>431</v>
      </c>
      <c r="C380" s="261" t="s">
        <v>349</v>
      </c>
      <c r="D380" s="260" t="s">
        <v>31</v>
      </c>
      <c r="E380" s="260">
        <v>33.200000000000003</v>
      </c>
      <c r="F380" s="260">
        <v>33.61</v>
      </c>
      <c r="G380" s="262">
        <v>1115.8499999999999</v>
      </c>
      <c r="H380" s="260">
        <v>0.56000000000000005</v>
      </c>
      <c r="I380" s="260">
        <v>88.07</v>
      </c>
      <c r="J380" s="91"/>
      <c r="K380" s="91"/>
    </row>
    <row r="381" spans="1:11">
      <c r="A381" s="260" t="s">
        <v>322</v>
      </c>
      <c r="B381" s="260" t="s">
        <v>427</v>
      </c>
      <c r="C381" s="261" t="s">
        <v>323</v>
      </c>
      <c r="D381" s="260" t="s">
        <v>451</v>
      </c>
      <c r="E381" s="260">
        <v>193.56</v>
      </c>
      <c r="F381" s="260">
        <v>5.69</v>
      </c>
      <c r="G381" s="262">
        <v>1101.3499999999999</v>
      </c>
      <c r="H381" s="260">
        <v>0.55000000000000004</v>
      </c>
      <c r="I381" s="260">
        <v>88.61</v>
      </c>
      <c r="J381" s="91"/>
      <c r="K381" s="91"/>
    </row>
    <row r="382" spans="1:11">
      <c r="A382" s="260">
        <v>98504</v>
      </c>
      <c r="B382" s="260" t="s">
        <v>431</v>
      </c>
      <c r="C382" s="261" t="s">
        <v>172</v>
      </c>
      <c r="D382" s="260" t="s">
        <v>451</v>
      </c>
      <c r="E382" s="260">
        <v>83.77</v>
      </c>
      <c r="F382" s="260">
        <v>12.45</v>
      </c>
      <c r="G382" s="262">
        <v>1042.93</v>
      </c>
      <c r="H382" s="260">
        <v>0.52</v>
      </c>
      <c r="I382" s="260">
        <v>89.13</v>
      </c>
      <c r="J382" s="91"/>
      <c r="K382" s="91"/>
    </row>
    <row r="383" spans="1:11" ht="30">
      <c r="A383" s="260">
        <v>98680</v>
      </c>
      <c r="B383" s="260" t="s">
        <v>431</v>
      </c>
      <c r="C383" s="261" t="s">
        <v>849</v>
      </c>
      <c r="D383" s="260" t="s">
        <v>451</v>
      </c>
      <c r="E383" s="260">
        <v>26.38</v>
      </c>
      <c r="F383" s="260">
        <v>39.01</v>
      </c>
      <c r="G383" s="262">
        <v>1029.08</v>
      </c>
      <c r="H383" s="260">
        <v>0.51</v>
      </c>
      <c r="I383" s="260">
        <v>89.65</v>
      </c>
      <c r="J383" s="91"/>
      <c r="K383" s="91"/>
    </row>
    <row r="384" spans="1:11" ht="30">
      <c r="A384" s="260">
        <v>96545</v>
      </c>
      <c r="B384" s="260" t="s">
        <v>431</v>
      </c>
      <c r="C384" s="261" t="s">
        <v>62</v>
      </c>
      <c r="D384" s="260" t="s">
        <v>60</v>
      </c>
      <c r="E384" s="263">
        <v>65.135999999999996</v>
      </c>
      <c r="F384" s="260">
        <v>15.58</v>
      </c>
      <c r="G384" s="262">
        <v>1014.81</v>
      </c>
      <c r="H384" s="260">
        <v>0.51</v>
      </c>
      <c r="I384" s="260">
        <v>90.15</v>
      </c>
      <c r="J384" s="91"/>
      <c r="K384" s="91"/>
    </row>
    <row r="385" spans="1:11" ht="30">
      <c r="A385" s="260">
        <v>87879</v>
      </c>
      <c r="B385" s="260" t="s">
        <v>431</v>
      </c>
      <c r="C385" s="261" t="s">
        <v>117</v>
      </c>
      <c r="D385" s="260" t="s">
        <v>451</v>
      </c>
      <c r="E385" s="263">
        <v>229.32</v>
      </c>
      <c r="F385" s="260">
        <v>3.59</v>
      </c>
      <c r="G385" s="260">
        <v>823.25</v>
      </c>
      <c r="H385" s="260">
        <v>0.41</v>
      </c>
      <c r="I385" s="260">
        <v>90.56</v>
      </c>
      <c r="J385" s="91"/>
      <c r="K385" s="91"/>
    </row>
    <row r="386" spans="1:11" ht="45">
      <c r="A386" s="260">
        <v>100719</v>
      </c>
      <c r="B386" s="260" t="s">
        <v>431</v>
      </c>
      <c r="C386" s="261" t="s">
        <v>130</v>
      </c>
      <c r="D386" s="260" t="s">
        <v>451</v>
      </c>
      <c r="E386" s="260">
        <v>87.75</v>
      </c>
      <c r="F386" s="260">
        <v>9.33</v>
      </c>
      <c r="G386" s="260">
        <v>818.7</v>
      </c>
      <c r="H386" s="260">
        <v>0.41</v>
      </c>
      <c r="I386" s="260">
        <v>90.97</v>
      </c>
      <c r="J386" s="91"/>
      <c r="K386" s="91"/>
    </row>
    <row r="387" spans="1:11">
      <c r="A387" s="260">
        <v>88485</v>
      </c>
      <c r="B387" s="260" t="s">
        <v>431</v>
      </c>
      <c r="C387" s="261" t="s">
        <v>126</v>
      </c>
      <c r="D387" s="260" t="s">
        <v>451</v>
      </c>
      <c r="E387" s="260">
        <v>273.44</v>
      </c>
      <c r="F387" s="260">
        <v>2.72</v>
      </c>
      <c r="G387" s="260">
        <v>743.75</v>
      </c>
      <c r="H387" s="260">
        <v>0.37</v>
      </c>
      <c r="I387" s="260">
        <v>91.34</v>
      </c>
      <c r="J387" s="91"/>
      <c r="K387" s="91"/>
    </row>
    <row r="388" spans="1:11" ht="60">
      <c r="A388" s="260" t="s">
        <v>205</v>
      </c>
      <c r="B388" s="260" t="s">
        <v>427</v>
      </c>
      <c r="C388" s="261" t="s">
        <v>206</v>
      </c>
      <c r="D388" s="260" t="s">
        <v>8</v>
      </c>
      <c r="E388" s="260">
        <v>1</v>
      </c>
      <c r="F388" s="260">
        <v>709.25</v>
      </c>
      <c r="G388" s="260">
        <v>709.25</v>
      </c>
      <c r="H388" s="260">
        <v>0.35</v>
      </c>
      <c r="I388" s="260">
        <v>91.69</v>
      </c>
      <c r="J388" s="91"/>
      <c r="K388" s="91"/>
    </row>
    <row r="389" spans="1:11" ht="45">
      <c r="A389" s="260">
        <v>101878</v>
      </c>
      <c r="B389" s="260" t="s">
        <v>431</v>
      </c>
      <c r="C389" s="261" t="s">
        <v>280</v>
      </c>
      <c r="D389" s="260" t="s">
        <v>8</v>
      </c>
      <c r="E389" s="260">
        <v>1</v>
      </c>
      <c r="F389" s="260">
        <v>693.94</v>
      </c>
      <c r="G389" s="260">
        <v>693.94</v>
      </c>
      <c r="H389" s="260">
        <v>0.35</v>
      </c>
      <c r="I389" s="260">
        <v>92.04</v>
      </c>
      <c r="J389" s="91"/>
      <c r="K389" s="91"/>
    </row>
    <row r="390" spans="1:11" ht="45">
      <c r="A390" s="260">
        <v>91789</v>
      </c>
      <c r="B390" s="260" t="s">
        <v>431</v>
      </c>
      <c r="C390" s="261" t="s">
        <v>106</v>
      </c>
      <c r="D390" s="260" t="s">
        <v>31</v>
      </c>
      <c r="E390" s="260">
        <v>13.28</v>
      </c>
      <c r="F390" s="260">
        <v>51.6</v>
      </c>
      <c r="G390" s="260">
        <v>685.24</v>
      </c>
      <c r="H390" s="260">
        <v>0.34</v>
      </c>
      <c r="I390" s="260">
        <v>92.38</v>
      </c>
      <c r="J390" s="91"/>
      <c r="K390" s="91"/>
    </row>
    <row r="391" spans="1:11" ht="45">
      <c r="A391" s="260">
        <v>103001</v>
      </c>
      <c r="B391" s="260" t="s">
        <v>431</v>
      </c>
      <c r="C391" s="261" t="s">
        <v>216</v>
      </c>
      <c r="D391" s="260" t="s">
        <v>8</v>
      </c>
      <c r="E391" s="260">
        <v>4</v>
      </c>
      <c r="F391" s="260">
        <v>168.37</v>
      </c>
      <c r="G391" s="260">
        <v>673.48</v>
      </c>
      <c r="H391" s="260">
        <v>0.34</v>
      </c>
      <c r="I391" s="260">
        <v>92.71</v>
      </c>
      <c r="J391" s="91"/>
      <c r="K391" s="91"/>
    </row>
    <row r="392" spans="1:11" ht="75">
      <c r="A392" s="260" t="s">
        <v>289</v>
      </c>
      <c r="B392" s="260" t="s">
        <v>427</v>
      </c>
      <c r="C392" s="261" t="s">
        <v>290</v>
      </c>
      <c r="D392" s="260" t="s">
        <v>8</v>
      </c>
      <c r="E392" s="260">
        <v>1</v>
      </c>
      <c r="F392" s="260">
        <v>607.29</v>
      </c>
      <c r="G392" s="260">
        <v>607.29</v>
      </c>
      <c r="H392" s="260">
        <v>0.3</v>
      </c>
      <c r="I392" s="260">
        <v>93.02</v>
      </c>
      <c r="J392" s="91"/>
      <c r="K392" s="91"/>
    </row>
    <row r="393" spans="1:11" ht="45">
      <c r="A393" s="260">
        <v>97607</v>
      </c>
      <c r="B393" s="260" t="s">
        <v>431</v>
      </c>
      <c r="C393" s="261" t="s">
        <v>408</v>
      </c>
      <c r="D393" s="260" t="s">
        <v>8</v>
      </c>
      <c r="E393" s="260">
        <v>4</v>
      </c>
      <c r="F393" s="260">
        <v>147.24</v>
      </c>
      <c r="G393" s="260">
        <v>588.96</v>
      </c>
      <c r="H393" s="260">
        <v>0.28999999999999998</v>
      </c>
      <c r="I393" s="260">
        <v>93.31</v>
      </c>
      <c r="J393" s="91"/>
      <c r="K393" s="91"/>
    </row>
    <row r="394" spans="1:11" ht="30">
      <c r="A394" s="260">
        <v>97629</v>
      </c>
      <c r="B394" s="260" t="s">
        <v>431</v>
      </c>
      <c r="C394" s="261" t="s">
        <v>42</v>
      </c>
      <c r="D394" s="260" t="s">
        <v>468</v>
      </c>
      <c r="E394" s="260">
        <v>5.65</v>
      </c>
      <c r="F394" s="260">
        <v>103.42</v>
      </c>
      <c r="G394" s="260">
        <v>584.32000000000005</v>
      </c>
      <c r="H394" s="260">
        <v>0.28999999999999998</v>
      </c>
      <c r="I394" s="260">
        <v>93.6</v>
      </c>
      <c r="J394" s="91"/>
      <c r="K394" s="91"/>
    </row>
    <row r="395" spans="1:11" ht="30">
      <c r="A395" s="260">
        <v>89712</v>
      </c>
      <c r="B395" s="260" t="s">
        <v>431</v>
      </c>
      <c r="C395" s="261" t="s">
        <v>201</v>
      </c>
      <c r="D395" s="260" t="s">
        <v>31</v>
      </c>
      <c r="E395" s="260">
        <v>19.3</v>
      </c>
      <c r="F395" s="260">
        <v>28.98</v>
      </c>
      <c r="G395" s="260">
        <v>559.30999999999995</v>
      </c>
      <c r="H395" s="260">
        <v>0.28000000000000003</v>
      </c>
      <c r="I395" s="260">
        <v>93.88</v>
      </c>
      <c r="J395" s="91"/>
      <c r="K395" s="91"/>
    </row>
    <row r="396" spans="1:11" ht="75">
      <c r="A396" s="260" t="s">
        <v>218</v>
      </c>
      <c r="B396" s="260" t="s">
        <v>427</v>
      </c>
      <c r="C396" s="261" t="s">
        <v>219</v>
      </c>
      <c r="D396" s="260" t="s">
        <v>8</v>
      </c>
      <c r="E396" s="260">
        <v>1</v>
      </c>
      <c r="F396" s="260">
        <v>519.29999999999995</v>
      </c>
      <c r="G396" s="260">
        <v>519.29999999999995</v>
      </c>
      <c r="H396" s="260">
        <v>0.26</v>
      </c>
      <c r="I396" s="260">
        <v>94.14</v>
      </c>
      <c r="J396" s="91"/>
      <c r="K396" s="91"/>
    </row>
    <row r="397" spans="1:11" ht="45">
      <c r="A397" s="260">
        <v>91924</v>
      </c>
      <c r="B397" s="260" t="s">
        <v>431</v>
      </c>
      <c r="C397" s="261" t="s">
        <v>296</v>
      </c>
      <c r="D397" s="260" t="s">
        <v>31</v>
      </c>
      <c r="E397" s="260">
        <v>200</v>
      </c>
      <c r="F397" s="260">
        <v>2.5499999999999998</v>
      </c>
      <c r="G397" s="260">
        <v>510</v>
      </c>
      <c r="H397" s="260">
        <v>0.25</v>
      </c>
      <c r="I397" s="260">
        <v>94.39</v>
      </c>
      <c r="J397" s="91"/>
      <c r="K397" s="91"/>
    </row>
    <row r="398" spans="1:11" ht="30">
      <c r="A398" s="260" t="s">
        <v>49</v>
      </c>
      <c r="B398" s="260" t="s">
        <v>427</v>
      </c>
      <c r="C398" s="261" t="s">
        <v>50</v>
      </c>
      <c r="D398" s="260" t="s">
        <v>451</v>
      </c>
      <c r="E398" s="263">
        <v>113.95</v>
      </c>
      <c r="F398" s="260">
        <v>4.12</v>
      </c>
      <c r="G398" s="260">
        <v>469.47</v>
      </c>
      <c r="H398" s="260">
        <v>0.23</v>
      </c>
      <c r="I398" s="260">
        <v>94.63</v>
      </c>
      <c r="J398" s="91"/>
      <c r="K398" s="91"/>
    </row>
    <row r="399" spans="1:11" ht="75">
      <c r="A399" s="260" t="s">
        <v>25</v>
      </c>
      <c r="B399" s="260" t="s">
        <v>427</v>
      </c>
      <c r="C399" s="261" t="s">
        <v>26</v>
      </c>
      <c r="D399" s="260" t="s">
        <v>451</v>
      </c>
      <c r="E399" s="260">
        <v>2.2000000000000002</v>
      </c>
      <c r="F399" s="260">
        <v>204.75</v>
      </c>
      <c r="G399" s="260">
        <v>450.45</v>
      </c>
      <c r="H399" s="260">
        <v>0.22</v>
      </c>
      <c r="I399" s="260">
        <v>94.85</v>
      </c>
      <c r="J399" s="91"/>
      <c r="K399" s="91"/>
    </row>
    <row r="400" spans="1:11" ht="30">
      <c r="A400" s="260">
        <v>89998</v>
      </c>
      <c r="B400" s="260" t="s">
        <v>431</v>
      </c>
      <c r="C400" s="261" t="s">
        <v>351</v>
      </c>
      <c r="D400" s="260" t="s">
        <v>60</v>
      </c>
      <c r="E400" s="260">
        <v>40.968800000000002</v>
      </c>
      <c r="F400" s="260">
        <v>10.96</v>
      </c>
      <c r="G400" s="260">
        <v>449.01</v>
      </c>
      <c r="H400" s="260">
        <v>0.22</v>
      </c>
      <c r="I400" s="260">
        <v>95.07</v>
      </c>
      <c r="J400" s="91"/>
      <c r="K400" s="91"/>
    </row>
    <row r="401" spans="1:11" ht="30">
      <c r="A401" s="260" t="s">
        <v>313</v>
      </c>
      <c r="B401" s="260" t="s">
        <v>622</v>
      </c>
      <c r="C401" s="261" t="s">
        <v>1542</v>
      </c>
      <c r="D401" s="260" t="s">
        <v>8</v>
      </c>
      <c r="E401" s="263">
        <v>12</v>
      </c>
      <c r="F401" s="260">
        <v>36.53</v>
      </c>
      <c r="G401" s="260">
        <v>438.36</v>
      </c>
      <c r="H401" s="260">
        <v>0.22</v>
      </c>
      <c r="I401" s="260">
        <v>95.29</v>
      </c>
      <c r="J401" s="91"/>
      <c r="K401" s="91"/>
    </row>
    <row r="402" spans="1:11">
      <c r="A402" s="260">
        <v>98520</v>
      </c>
      <c r="B402" s="260" t="s">
        <v>431</v>
      </c>
      <c r="C402" s="261" t="s">
        <v>174</v>
      </c>
      <c r="D402" s="260" t="s">
        <v>451</v>
      </c>
      <c r="E402" s="260">
        <v>83.77</v>
      </c>
      <c r="F402" s="260">
        <v>5.23</v>
      </c>
      <c r="G402" s="260">
        <v>438.11</v>
      </c>
      <c r="H402" s="260">
        <v>0.22</v>
      </c>
      <c r="I402" s="260">
        <v>95.51</v>
      </c>
      <c r="J402" s="91"/>
      <c r="K402" s="91"/>
    </row>
    <row r="403" spans="1:11" ht="30">
      <c r="A403" s="260">
        <v>96543</v>
      </c>
      <c r="B403" s="260" t="s">
        <v>431</v>
      </c>
      <c r="C403" s="261" t="s">
        <v>586</v>
      </c>
      <c r="D403" s="260" t="s">
        <v>60</v>
      </c>
      <c r="E403" s="260">
        <v>23.884</v>
      </c>
      <c r="F403" s="260">
        <v>17.920000000000002</v>
      </c>
      <c r="G403" s="260">
        <v>428</v>
      </c>
      <c r="H403" s="260">
        <v>0.21</v>
      </c>
      <c r="I403" s="260">
        <v>95.72</v>
      </c>
      <c r="J403" s="91"/>
      <c r="K403" s="91"/>
    </row>
    <row r="404" spans="1:11" ht="30">
      <c r="A404" s="260">
        <v>98510</v>
      </c>
      <c r="B404" s="260" t="s">
        <v>431</v>
      </c>
      <c r="C404" s="261" t="s">
        <v>176</v>
      </c>
      <c r="D404" s="260" t="s">
        <v>8</v>
      </c>
      <c r="E404" s="260">
        <v>6</v>
      </c>
      <c r="F404" s="260">
        <v>69.099999999999994</v>
      </c>
      <c r="G404" s="260">
        <v>414.6</v>
      </c>
      <c r="H404" s="260">
        <v>0.21</v>
      </c>
      <c r="I404" s="260">
        <v>95.93</v>
      </c>
      <c r="J404" s="91"/>
      <c r="K404" s="91"/>
    </row>
    <row r="405" spans="1:11" ht="30">
      <c r="A405" s="260">
        <v>96986</v>
      </c>
      <c r="B405" s="260" t="s">
        <v>431</v>
      </c>
      <c r="C405" s="261" t="s">
        <v>306</v>
      </c>
      <c r="D405" s="260" t="s">
        <v>8</v>
      </c>
      <c r="E405" s="260">
        <v>3</v>
      </c>
      <c r="F405" s="260">
        <v>137.49</v>
      </c>
      <c r="G405" s="260">
        <v>412.47</v>
      </c>
      <c r="H405" s="260">
        <v>0.21</v>
      </c>
      <c r="I405" s="260">
        <v>96.13</v>
      </c>
      <c r="J405" s="91"/>
      <c r="K405" s="91"/>
    </row>
    <row r="406" spans="1:11">
      <c r="A406" s="260" t="s">
        <v>144</v>
      </c>
      <c r="B406" s="260" t="s">
        <v>427</v>
      </c>
      <c r="C406" s="261" t="s">
        <v>145</v>
      </c>
      <c r="D406" s="260" t="s">
        <v>31</v>
      </c>
      <c r="E406" s="260">
        <v>41.23</v>
      </c>
      <c r="F406" s="260">
        <v>8.91</v>
      </c>
      <c r="G406" s="260">
        <v>367.35</v>
      </c>
      <c r="H406" s="260">
        <v>0.18</v>
      </c>
      <c r="I406" s="260">
        <v>96.32</v>
      </c>
      <c r="J406" s="91"/>
      <c r="K406" s="91"/>
    </row>
    <row r="407" spans="1:11" ht="30">
      <c r="A407" s="260">
        <v>89362</v>
      </c>
      <c r="B407" s="260" t="s">
        <v>431</v>
      </c>
      <c r="C407" s="261" t="s">
        <v>263</v>
      </c>
      <c r="D407" s="260" t="s">
        <v>8</v>
      </c>
      <c r="E407" s="260">
        <v>43</v>
      </c>
      <c r="F407" s="260">
        <v>8.1300000000000008</v>
      </c>
      <c r="G407" s="260">
        <v>349.59</v>
      </c>
      <c r="H407" s="260">
        <v>0.17</v>
      </c>
      <c r="I407" s="260">
        <v>96.49</v>
      </c>
      <c r="J407" s="91"/>
      <c r="K407" s="91"/>
    </row>
    <row r="408" spans="1:11" ht="60">
      <c r="A408" s="260" t="s">
        <v>221</v>
      </c>
      <c r="B408" s="260" t="s">
        <v>427</v>
      </c>
      <c r="C408" s="261" t="s">
        <v>222</v>
      </c>
      <c r="D408" s="260" t="s">
        <v>8</v>
      </c>
      <c r="E408" s="260">
        <v>2</v>
      </c>
      <c r="F408" s="260">
        <v>173.74</v>
      </c>
      <c r="G408" s="260">
        <v>347.48</v>
      </c>
      <c r="H408" s="260">
        <v>0.17</v>
      </c>
      <c r="I408" s="260">
        <v>96.66</v>
      </c>
      <c r="J408" s="91"/>
      <c r="K408" s="91"/>
    </row>
    <row r="409" spans="1:11">
      <c r="A409" s="260" t="s">
        <v>163</v>
      </c>
      <c r="B409" s="260" t="s">
        <v>427</v>
      </c>
      <c r="C409" s="261" t="s">
        <v>164</v>
      </c>
      <c r="D409" s="260" t="s">
        <v>451</v>
      </c>
      <c r="E409" s="260">
        <v>1.59</v>
      </c>
      <c r="F409" s="260">
        <v>213.46</v>
      </c>
      <c r="G409" s="260">
        <v>339.4</v>
      </c>
      <c r="H409" s="260">
        <v>0.17</v>
      </c>
      <c r="I409" s="260">
        <v>96.83</v>
      </c>
      <c r="J409" s="91"/>
      <c r="K409" s="91"/>
    </row>
    <row r="410" spans="1:11" ht="30">
      <c r="A410" s="260" t="s">
        <v>303</v>
      </c>
      <c r="B410" s="260" t="s">
        <v>622</v>
      </c>
      <c r="C410" s="261" t="s">
        <v>304</v>
      </c>
      <c r="D410" s="260" t="s">
        <v>8</v>
      </c>
      <c r="E410" s="260">
        <v>9</v>
      </c>
      <c r="F410" s="260">
        <v>35.76</v>
      </c>
      <c r="G410" s="260">
        <v>321.83999999999997</v>
      </c>
      <c r="H410" s="260">
        <v>0.16</v>
      </c>
      <c r="I410" s="260">
        <v>96.99</v>
      </c>
      <c r="J410" s="91"/>
      <c r="K410" s="91"/>
    </row>
    <row r="411" spans="1:11" ht="30">
      <c r="A411" s="260" t="s">
        <v>327</v>
      </c>
      <c r="B411" s="260" t="s">
        <v>427</v>
      </c>
      <c r="C411" s="261" t="s">
        <v>328</v>
      </c>
      <c r="D411" s="260" t="s">
        <v>542</v>
      </c>
      <c r="E411" s="260">
        <v>7</v>
      </c>
      <c r="F411" s="260">
        <v>44.59</v>
      </c>
      <c r="G411" s="260">
        <v>312.13</v>
      </c>
      <c r="H411" s="260">
        <v>0.16</v>
      </c>
      <c r="I411" s="260">
        <v>97.15</v>
      </c>
      <c r="J411" s="91"/>
      <c r="K411" s="91"/>
    </row>
    <row r="412" spans="1:11">
      <c r="A412" s="260" t="s">
        <v>101</v>
      </c>
      <c r="B412" s="260" t="s">
        <v>427</v>
      </c>
      <c r="C412" s="261" t="s">
        <v>102</v>
      </c>
      <c r="D412" s="260" t="s">
        <v>31</v>
      </c>
      <c r="E412" s="260">
        <v>8.98</v>
      </c>
      <c r="F412" s="260">
        <v>32.86</v>
      </c>
      <c r="G412" s="260">
        <v>295.08</v>
      </c>
      <c r="H412" s="260">
        <v>0.15</v>
      </c>
      <c r="I412" s="260">
        <v>97.3</v>
      </c>
      <c r="J412" s="91"/>
      <c r="K412" s="91"/>
    </row>
    <row r="413" spans="1:11" ht="30">
      <c r="A413" s="260" t="s">
        <v>330</v>
      </c>
      <c r="B413" s="260" t="s">
        <v>622</v>
      </c>
      <c r="C413" s="261" t="s">
        <v>331</v>
      </c>
      <c r="D413" s="260" t="s">
        <v>8</v>
      </c>
      <c r="E413" s="260">
        <v>6</v>
      </c>
      <c r="F413" s="260">
        <v>48.61</v>
      </c>
      <c r="G413" s="260">
        <v>291.66000000000003</v>
      </c>
      <c r="H413" s="260">
        <v>0.15</v>
      </c>
      <c r="I413" s="260">
        <v>97.44</v>
      </c>
      <c r="J413" s="91"/>
      <c r="K413" s="91"/>
    </row>
    <row r="414" spans="1:11">
      <c r="A414" s="260" t="s">
        <v>33</v>
      </c>
      <c r="B414" s="260" t="s">
        <v>427</v>
      </c>
      <c r="C414" s="261" t="s">
        <v>34</v>
      </c>
      <c r="D414" s="260" t="s">
        <v>451</v>
      </c>
      <c r="E414" s="260">
        <v>32.729999999999997</v>
      </c>
      <c r="F414" s="260">
        <v>8.3800000000000008</v>
      </c>
      <c r="G414" s="260">
        <v>274.27</v>
      </c>
      <c r="H414" s="260">
        <v>0.14000000000000001</v>
      </c>
      <c r="I414" s="260">
        <v>97.58</v>
      </c>
      <c r="J414" s="91"/>
      <c r="K414" s="91"/>
    </row>
    <row r="415" spans="1:11" ht="45">
      <c r="A415" s="260" t="s">
        <v>316</v>
      </c>
      <c r="B415" s="260" t="s">
        <v>622</v>
      </c>
      <c r="C415" s="261" t="s">
        <v>317</v>
      </c>
      <c r="D415" s="260" t="s">
        <v>8</v>
      </c>
      <c r="E415" s="260">
        <v>8</v>
      </c>
      <c r="F415" s="260">
        <v>34.200000000000003</v>
      </c>
      <c r="G415" s="260">
        <v>273.60000000000002</v>
      </c>
      <c r="H415" s="260">
        <v>0.14000000000000001</v>
      </c>
      <c r="I415" s="260">
        <v>97.71</v>
      </c>
      <c r="J415" s="91"/>
      <c r="K415" s="91"/>
    </row>
    <row r="416" spans="1:11" ht="30">
      <c r="A416" s="260">
        <v>89724</v>
      </c>
      <c r="B416" s="260" t="s">
        <v>431</v>
      </c>
      <c r="C416" s="261" t="s">
        <v>238</v>
      </c>
      <c r="D416" s="260" t="s">
        <v>8</v>
      </c>
      <c r="E416" s="260">
        <v>27</v>
      </c>
      <c r="F416" s="260">
        <v>10.119999999999999</v>
      </c>
      <c r="G416" s="260">
        <v>273.24</v>
      </c>
      <c r="H416" s="260">
        <v>0.14000000000000001</v>
      </c>
      <c r="I416" s="260">
        <v>97.85</v>
      </c>
      <c r="J416" s="91"/>
      <c r="K416" s="91"/>
    </row>
    <row r="417" spans="1:11" ht="30">
      <c r="A417" s="260">
        <v>86913</v>
      </c>
      <c r="B417" s="260" t="s">
        <v>431</v>
      </c>
      <c r="C417" s="261" t="s">
        <v>196</v>
      </c>
      <c r="D417" s="260" t="s">
        <v>8</v>
      </c>
      <c r="E417" s="260">
        <v>6</v>
      </c>
      <c r="F417" s="260">
        <v>45.41</v>
      </c>
      <c r="G417" s="260">
        <v>272.45999999999998</v>
      </c>
      <c r="H417" s="260">
        <v>0.14000000000000001</v>
      </c>
      <c r="I417" s="260">
        <v>97.99</v>
      </c>
      <c r="J417" s="91"/>
      <c r="K417" s="91"/>
    </row>
    <row r="418" spans="1:11" ht="30">
      <c r="A418" s="260">
        <v>93672</v>
      </c>
      <c r="B418" s="260" t="s">
        <v>431</v>
      </c>
      <c r="C418" s="261" t="s">
        <v>282</v>
      </c>
      <c r="D418" s="260" t="s">
        <v>8</v>
      </c>
      <c r="E418" s="260">
        <v>2</v>
      </c>
      <c r="F418" s="260">
        <v>135.93</v>
      </c>
      <c r="G418" s="260">
        <v>271.86</v>
      </c>
      <c r="H418" s="260">
        <v>0.14000000000000001</v>
      </c>
      <c r="I418" s="260">
        <v>98.12</v>
      </c>
      <c r="J418" s="91"/>
      <c r="K418" s="91"/>
    </row>
    <row r="419" spans="1:11" ht="30">
      <c r="A419" s="260" t="s">
        <v>66</v>
      </c>
      <c r="B419" s="260" t="s">
        <v>427</v>
      </c>
      <c r="C419" s="261" t="s">
        <v>67</v>
      </c>
      <c r="D419" s="260" t="s">
        <v>451</v>
      </c>
      <c r="E419" s="260">
        <v>103.5338</v>
      </c>
      <c r="F419" s="260">
        <v>2.56</v>
      </c>
      <c r="G419" s="260">
        <v>265.04000000000002</v>
      </c>
      <c r="H419" s="260">
        <v>0.13</v>
      </c>
      <c r="I419" s="260">
        <v>98.25</v>
      </c>
      <c r="J419" s="91"/>
      <c r="K419" s="91"/>
    </row>
    <row r="420" spans="1:11" ht="45">
      <c r="A420" s="260">
        <v>97667</v>
      </c>
      <c r="B420" s="260" t="s">
        <v>431</v>
      </c>
      <c r="C420" s="261" t="s">
        <v>287</v>
      </c>
      <c r="D420" s="260" t="s">
        <v>31</v>
      </c>
      <c r="E420" s="260">
        <v>36</v>
      </c>
      <c r="F420" s="260">
        <v>7.32</v>
      </c>
      <c r="G420" s="260">
        <v>263.52</v>
      </c>
      <c r="H420" s="260">
        <v>0.13</v>
      </c>
      <c r="I420" s="260">
        <v>98.38</v>
      </c>
      <c r="J420" s="91"/>
      <c r="K420" s="91"/>
    </row>
    <row r="421" spans="1:11" ht="30">
      <c r="A421" s="260" t="s">
        <v>389</v>
      </c>
      <c r="B421" s="260" t="s">
        <v>622</v>
      </c>
      <c r="C421" s="261" t="s">
        <v>390</v>
      </c>
      <c r="D421" s="260" t="s">
        <v>1459</v>
      </c>
      <c r="E421" s="263">
        <v>3.6</v>
      </c>
      <c r="F421" s="260">
        <v>72.94</v>
      </c>
      <c r="G421" s="260">
        <v>262.58</v>
      </c>
      <c r="H421" s="260">
        <v>0.13</v>
      </c>
      <c r="I421" s="260">
        <v>98.52</v>
      </c>
      <c r="J421" s="91"/>
      <c r="K421" s="91"/>
    </row>
    <row r="422" spans="1:11" ht="60">
      <c r="A422" s="260">
        <v>86942</v>
      </c>
      <c r="B422" s="260" t="s">
        <v>431</v>
      </c>
      <c r="C422" s="261" t="s">
        <v>194</v>
      </c>
      <c r="D422" s="260" t="s">
        <v>8</v>
      </c>
      <c r="E422" s="260">
        <v>1</v>
      </c>
      <c r="F422" s="260">
        <v>240.34</v>
      </c>
      <c r="G422" s="260">
        <v>240.34</v>
      </c>
      <c r="H422" s="260">
        <v>0.12</v>
      </c>
      <c r="I422" s="260">
        <v>98.64</v>
      </c>
      <c r="J422" s="91"/>
      <c r="K422" s="91"/>
    </row>
    <row r="423" spans="1:11" ht="30">
      <c r="A423" s="260" t="s">
        <v>300</v>
      </c>
      <c r="B423" s="260" t="s">
        <v>622</v>
      </c>
      <c r="C423" s="261" t="s">
        <v>301</v>
      </c>
      <c r="D423" s="260" t="s">
        <v>8</v>
      </c>
      <c r="E423" s="260">
        <v>5</v>
      </c>
      <c r="F423" s="260">
        <v>40.380000000000003</v>
      </c>
      <c r="G423" s="260">
        <v>201.9</v>
      </c>
      <c r="H423" s="260">
        <v>0.1</v>
      </c>
      <c r="I423" s="260">
        <v>98.74</v>
      </c>
      <c r="J423" s="91"/>
      <c r="K423" s="91"/>
    </row>
    <row r="424" spans="1:11" ht="30">
      <c r="A424" s="260">
        <v>89782</v>
      </c>
      <c r="B424" s="260" t="s">
        <v>431</v>
      </c>
      <c r="C424" s="261" t="s">
        <v>232</v>
      </c>
      <c r="D424" s="260" t="s">
        <v>8</v>
      </c>
      <c r="E424" s="260">
        <v>15</v>
      </c>
      <c r="F424" s="260">
        <v>11.74</v>
      </c>
      <c r="G424" s="260">
        <v>176.1</v>
      </c>
      <c r="H424" s="260">
        <v>0.09</v>
      </c>
      <c r="I424" s="260">
        <v>98.82</v>
      </c>
      <c r="J424" s="91"/>
      <c r="K424" s="91"/>
    </row>
    <row r="425" spans="1:11" ht="30">
      <c r="A425" s="260" t="s">
        <v>182</v>
      </c>
      <c r="B425" s="260" t="s">
        <v>427</v>
      </c>
      <c r="C425" s="261" t="s">
        <v>183</v>
      </c>
      <c r="D425" s="260" t="s">
        <v>542</v>
      </c>
      <c r="E425" s="260">
        <v>1</v>
      </c>
      <c r="F425" s="260">
        <v>165.32</v>
      </c>
      <c r="G425" s="260">
        <v>165.32</v>
      </c>
      <c r="H425" s="260">
        <v>0.08</v>
      </c>
      <c r="I425" s="260">
        <v>98.91</v>
      </c>
      <c r="J425" s="91"/>
      <c r="K425" s="91"/>
    </row>
    <row r="426" spans="1:11" ht="30">
      <c r="A426" s="260" t="s">
        <v>208</v>
      </c>
      <c r="B426" s="260" t="s">
        <v>427</v>
      </c>
      <c r="C426" s="261" t="s">
        <v>209</v>
      </c>
      <c r="D426" s="260" t="s">
        <v>8</v>
      </c>
      <c r="E426" s="263">
        <v>7</v>
      </c>
      <c r="F426" s="260">
        <v>22.78</v>
      </c>
      <c r="G426" s="260">
        <v>159.46</v>
      </c>
      <c r="H426" s="260">
        <v>0.08</v>
      </c>
      <c r="I426" s="260">
        <v>98.98</v>
      </c>
      <c r="J426" s="91"/>
      <c r="K426" s="91"/>
    </row>
    <row r="427" spans="1:11">
      <c r="A427" s="260">
        <v>93382</v>
      </c>
      <c r="B427" s="260" t="s">
        <v>431</v>
      </c>
      <c r="C427" s="261" t="s">
        <v>47</v>
      </c>
      <c r="D427" s="260" t="s">
        <v>468</v>
      </c>
      <c r="E427" s="260">
        <v>5.7759999999999998</v>
      </c>
      <c r="F427" s="260">
        <v>27.29</v>
      </c>
      <c r="G427" s="260">
        <v>157.62</v>
      </c>
      <c r="H427" s="260">
        <v>0.08</v>
      </c>
      <c r="I427" s="260">
        <v>99.06</v>
      </c>
      <c r="J427" s="91"/>
      <c r="K427" s="91"/>
    </row>
    <row r="428" spans="1:11">
      <c r="A428" s="260" t="s">
        <v>186</v>
      </c>
      <c r="B428" s="260" t="s">
        <v>427</v>
      </c>
      <c r="C428" s="261" t="s">
        <v>187</v>
      </c>
      <c r="D428" s="260" t="s">
        <v>542</v>
      </c>
      <c r="E428" s="260">
        <v>5</v>
      </c>
      <c r="F428" s="260">
        <v>31.52</v>
      </c>
      <c r="G428" s="260">
        <v>157.6</v>
      </c>
      <c r="H428" s="260">
        <v>0.08</v>
      </c>
      <c r="I428" s="260">
        <v>99.14</v>
      </c>
      <c r="J428" s="91"/>
      <c r="K428" s="91"/>
    </row>
    <row r="429" spans="1:11" ht="30">
      <c r="A429" s="260">
        <v>98111</v>
      </c>
      <c r="B429" s="260" t="s">
        <v>431</v>
      </c>
      <c r="C429" s="261" t="s">
        <v>308</v>
      </c>
      <c r="D429" s="260" t="s">
        <v>8</v>
      </c>
      <c r="E429" s="260">
        <v>3</v>
      </c>
      <c r="F429" s="260">
        <v>52.11</v>
      </c>
      <c r="G429" s="260">
        <v>156.33000000000001</v>
      </c>
      <c r="H429" s="260">
        <v>0.08</v>
      </c>
      <c r="I429" s="260">
        <v>99.22</v>
      </c>
      <c r="J429" s="91"/>
      <c r="K429" s="91"/>
    </row>
    <row r="430" spans="1:11" ht="45">
      <c r="A430" s="260">
        <v>89774</v>
      </c>
      <c r="B430" s="260" t="s">
        <v>431</v>
      </c>
      <c r="C430" s="261" t="s">
        <v>1203</v>
      </c>
      <c r="D430" s="260" t="s">
        <v>8</v>
      </c>
      <c r="E430" s="260">
        <v>10</v>
      </c>
      <c r="F430" s="260">
        <v>15.19</v>
      </c>
      <c r="G430" s="260">
        <v>151.9</v>
      </c>
      <c r="H430" s="260">
        <v>0.08</v>
      </c>
      <c r="I430" s="260">
        <v>99.3</v>
      </c>
      <c r="J430" s="91"/>
      <c r="K430" s="91"/>
    </row>
    <row r="431" spans="1:11" ht="45">
      <c r="A431" s="260">
        <v>89806</v>
      </c>
      <c r="B431" s="260" t="s">
        <v>431</v>
      </c>
      <c r="C431" s="261" t="s">
        <v>254</v>
      </c>
      <c r="D431" s="260" t="s">
        <v>8</v>
      </c>
      <c r="E431" s="260">
        <v>8</v>
      </c>
      <c r="F431" s="260">
        <v>15.59</v>
      </c>
      <c r="G431" s="260">
        <v>124.72</v>
      </c>
      <c r="H431" s="260">
        <v>0.06</v>
      </c>
      <c r="I431" s="260">
        <v>99.36</v>
      </c>
      <c r="J431" s="91"/>
      <c r="K431" s="91"/>
    </row>
    <row r="432" spans="1:11" ht="30">
      <c r="A432" s="260" t="s">
        <v>310</v>
      </c>
      <c r="B432" s="260" t="s">
        <v>427</v>
      </c>
      <c r="C432" s="261" t="s">
        <v>311</v>
      </c>
      <c r="D432" s="260" t="s">
        <v>31</v>
      </c>
      <c r="E432" s="260">
        <v>10</v>
      </c>
      <c r="F432" s="260">
        <v>11.45</v>
      </c>
      <c r="G432" s="260">
        <v>114.5</v>
      </c>
      <c r="H432" s="260">
        <v>0.06</v>
      </c>
      <c r="I432" s="260">
        <v>99.41</v>
      </c>
      <c r="J432" s="91"/>
      <c r="K432" s="91"/>
    </row>
    <row r="433" spans="1:11" ht="45">
      <c r="A433" s="260">
        <v>90373</v>
      </c>
      <c r="B433" s="260" t="s">
        <v>431</v>
      </c>
      <c r="C433" s="261" t="s">
        <v>258</v>
      </c>
      <c r="D433" s="260" t="s">
        <v>8</v>
      </c>
      <c r="E433" s="263">
        <v>7</v>
      </c>
      <c r="F433" s="260">
        <v>16.07</v>
      </c>
      <c r="G433" s="260">
        <v>112.49</v>
      </c>
      <c r="H433" s="260">
        <v>0.06</v>
      </c>
      <c r="I433" s="260">
        <v>99.47</v>
      </c>
      <c r="J433" s="91"/>
      <c r="K433" s="91"/>
    </row>
    <row r="434" spans="1:11" ht="30">
      <c r="A434" s="260">
        <v>94492</v>
      </c>
      <c r="B434" s="260" t="s">
        <v>431</v>
      </c>
      <c r="C434" s="261" t="s">
        <v>248</v>
      </c>
      <c r="D434" s="260" t="s">
        <v>8</v>
      </c>
      <c r="E434" s="260">
        <v>2</v>
      </c>
      <c r="F434" s="260">
        <v>54.89</v>
      </c>
      <c r="G434" s="260">
        <v>109.78</v>
      </c>
      <c r="H434" s="260">
        <v>0.05</v>
      </c>
      <c r="I434" s="260">
        <v>99.53</v>
      </c>
      <c r="J434" s="91"/>
      <c r="K434" s="91"/>
    </row>
    <row r="435" spans="1:11" ht="45">
      <c r="A435" s="260">
        <v>89987</v>
      </c>
      <c r="B435" s="260" t="s">
        <v>431</v>
      </c>
      <c r="C435" s="261" t="s">
        <v>260</v>
      </c>
      <c r="D435" s="260" t="s">
        <v>8</v>
      </c>
      <c r="E435" s="260">
        <v>1</v>
      </c>
      <c r="F435" s="260">
        <v>105.29</v>
      </c>
      <c r="G435" s="260">
        <v>105.29</v>
      </c>
      <c r="H435" s="260">
        <v>0.05</v>
      </c>
      <c r="I435" s="260">
        <v>99.58</v>
      </c>
      <c r="J435" s="91"/>
      <c r="K435" s="91"/>
    </row>
    <row r="436" spans="1:11" ht="30">
      <c r="A436" s="260">
        <v>89726</v>
      </c>
      <c r="B436" s="260" t="s">
        <v>431</v>
      </c>
      <c r="C436" s="261" t="s">
        <v>234</v>
      </c>
      <c r="D436" s="260" t="s">
        <v>8</v>
      </c>
      <c r="E436" s="260">
        <v>15</v>
      </c>
      <c r="F436" s="260">
        <v>6.87</v>
      </c>
      <c r="G436" s="260">
        <v>103.05</v>
      </c>
      <c r="H436" s="260">
        <v>0.05</v>
      </c>
      <c r="I436" s="260">
        <v>99.63</v>
      </c>
      <c r="J436" s="91"/>
      <c r="K436" s="91"/>
    </row>
    <row r="437" spans="1:11" ht="30">
      <c r="A437" s="260">
        <v>93653</v>
      </c>
      <c r="B437" s="260" t="s">
        <v>431</v>
      </c>
      <c r="C437" s="261" t="s">
        <v>292</v>
      </c>
      <c r="D437" s="260" t="s">
        <v>8</v>
      </c>
      <c r="E437" s="260">
        <v>5</v>
      </c>
      <c r="F437" s="260">
        <v>18.7</v>
      </c>
      <c r="G437" s="260">
        <v>93.5</v>
      </c>
      <c r="H437" s="260">
        <v>0.05</v>
      </c>
      <c r="I437" s="260">
        <v>99.68</v>
      </c>
      <c r="J437" s="91"/>
      <c r="K437" s="91"/>
    </row>
    <row r="438" spans="1:11" ht="30">
      <c r="A438" s="260">
        <v>97647</v>
      </c>
      <c r="B438" s="260" t="s">
        <v>431</v>
      </c>
      <c r="C438" s="261" t="s">
        <v>85</v>
      </c>
      <c r="D438" s="260" t="s">
        <v>451</v>
      </c>
      <c r="E438" s="260">
        <v>33.25</v>
      </c>
      <c r="F438" s="260">
        <v>2.74</v>
      </c>
      <c r="G438" s="260">
        <v>91.1</v>
      </c>
      <c r="H438" s="260">
        <v>0.05</v>
      </c>
      <c r="I438" s="260">
        <v>99.72</v>
      </c>
      <c r="J438" s="91"/>
      <c r="K438" s="91"/>
    </row>
    <row r="439" spans="1:11" ht="30">
      <c r="A439" s="260">
        <v>89395</v>
      </c>
      <c r="B439" s="260" t="s">
        <v>431</v>
      </c>
      <c r="C439" s="261" t="s">
        <v>265</v>
      </c>
      <c r="D439" s="260" t="s">
        <v>8</v>
      </c>
      <c r="E439" s="260">
        <v>7</v>
      </c>
      <c r="F439" s="260">
        <v>11.42</v>
      </c>
      <c r="G439" s="260">
        <v>79.94</v>
      </c>
      <c r="H439" s="260">
        <v>0.04</v>
      </c>
      <c r="I439" s="260">
        <v>99.76</v>
      </c>
      <c r="J439" s="91"/>
      <c r="K439" s="91"/>
    </row>
    <row r="440" spans="1:11" ht="30">
      <c r="A440" s="260">
        <v>89784</v>
      </c>
      <c r="B440" s="260" t="s">
        <v>431</v>
      </c>
      <c r="C440" s="261" t="s">
        <v>230</v>
      </c>
      <c r="D440" s="260" t="s">
        <v>8</v>
      </c>
      <c r="E440" s="260">
        <v>3</v>
      </c>
      <c r="F440" s="260">
        <v>19.95</v>
      </c>
      <c r="G440" s="260">
        <v>59.85</v>
      </c>
      <c r="H440" s="260">
        <v>0.03</v>
      </c>
      <c r="I440" s="260">
        <v>99.79</v>
      </c>
      <c r="J440" s="91"/>
      <c r="K440" s="91"/>
    </row>
    <row r="441" spans="1:11">
      <c r="A441" s="260" t="s">
        <v>227</v>
      </c>
      <c r="B441" s="260" t="s">
        <v>427</v>
      </c>
      <c r="C441" s="261" t="s">
        <v>228</v>
      </c>
      <c r="D441" s="260" t="s">
        <v>542</v>
      </c>
      <c r="E441" s="260">
        <v>1</v>
      </c>
      <c r="F441" s="260">
        <v>56.49</v>
      </c>
      <c r="G441" s="260">
        <v>56.49</v>
      </c>
      <c r="H441" s="260">
        <v>0.03</v>
      </c>
      <c r="I441" s="260">
        <v>99.82</v>
      </c>
      <c r="J441" s="91"/>
      <c r="K441" s="91"/>
    </row>
    <row r="442" spans="1:11" ht="30">
      <c r="A442" s="260" t="s">
        <v>224</v>
      </c>
      <c r="B442" s="260" t="s">
        <v>427</v>
      </c>
      <c r="C442" s="261" t="s">
        <v>225</v>
      </c>
      <c r="D442" s="260" t="s">
        <v>542</v>
      </c>
      <c r="E442" s="260">
        <v>1</v>
      </c>
      <c r="F442" s="260">
        <v>54.59</v>
      </c>
      <c r="G442" s="260">
        <v>54.59</v>
      </c>
      <c r="H442" s="260">
        <v>0.03</v>
      </c>
      <c r="I442" s="260">
        <v>99.85</v>
      </c>
      <c r="J442" s="91"/>
      <c r="K442" s="91"/>
    </row>
    <row r="443" spans="1:11" ht="30">
      <c r="A443" s="260">
        <v>89424</v>
      </c>
      <c r="B443" s="260" t="s">
        <v>431</v>
      </c>
      <c r="C443" s="261" t="s">
        <v>1246</v>
      </c>
      <c r="D443" s="260" t="s">
        <v>8</v>
      </c>
      <c r="E443" s="260">
        <v>11</v>
      </c>
      <c r="F443" s="260">
        <v>4.5199999999999996</v>
      </c>
      <c r="G443" s="260">
        <v>49.72</v>
      </c>
      <c r="H443" s="260">
        <v>0.02</v>
      </c>
      <c r="I443" s="260">
        <v>99.87</v>
      </c>
      <c r="J443" s="91"/>
      <c r="K443" s="91"/>
    </row>
    <row r="444" spans="1:11" ht="30">
      <c r="A444" s="260">
        <v>89813</v>
      </c>
      <c r="B444" s="260" t="s">
        <v>431</v>
      </c>
      <c r="C444" s="261" t="s">
        <v>1188</v>
      </c>
      <c r="D444" s="260" t="s">
        <v>8</v>
      </c>
      <c r="E444" s="260">
        <v>7</v>
      </c>
      <c r="F444" s="260">
        <v>6.92</v>
      </c>
      <c r="G444" s="260">
        <v>48.44</v>
      </c>
      <c r="H444" s="260">
        <v>0.02</v>
      </c>
      <c r="I444" s="260">
        <v>99.89</v>
      </c>
      <c r="J444" s="91"/>
      <c r="K444" s="91"/>
    </row>
    <row r="445" spans="1:11" ht="30">
      <c r="A445" s="260">
        <v>89707</v>
      </c>
      <c r="B445" s="260" t="s">
        <v>431</v>
      </c>
      <c r="C445" s="261" t="s">
        <v>214</v>
      </c>
      <c r="D445" s="260" t="s">
        <v>8</v>
      </c>
      <c r="E445" s="260">
        <v>1</v>
      </c>
      <c r="F445" s="260">
        <v>38.03</v>
      </c>
      <c r="G445" s="260">
        <v>38.03</v>
      </c>
      <c r="H445" s="260">
        <v>0.02</v>
      </c>
      <c r="I445" s="260">
        <v>99.91</v>
      </c>
      <c r="J445" s="91"/>
      <c r="K445" s="91"/>
    </row>
    <row r="446" spans="1:11" ht="30">
      <c r="A446" s="260">
        <v>89827</v>
      </c>
      <c r="B446" s="260" t="s">
        <v>431</v>
      </c>
      <c r="C446" s="261" t="s">
        <v>242</v>
      </c>
      <c r="D446" s="260" t="s">
        <v>8</v>
      </c>
      <c r="E446" s="260">
        <v>2</v>
      </c>
      <c r="F446" s="260">
        <v>17.68</v>
      </c>
      <c r="G446" s="260">
        <v>35.36</v>
      </c>
      <c r="H446" s="260">
        <v>0.02</v>
      </c>
      <c r="I446" s="260">
        <v>99.93</v>
      </c>
      <c r="J446" s="91"/>
      <c r="K446" s="91"/>
    </row>
    <row r="447" spans="1:11" ht="30">
      <c r="A447" s="260">
        <v>89752</v>
      </c>
      <c r="B447" s="260" t="s">
        <v>431</v>
      </c>
      <c r="C447" s="261" t="s">
        <v>1183</v>
      </c>
      <c r="D447" s="260" t="s">
        <v>8</v>
      </c>
      <c r="E447" s="260">
        <v>5</v>
      </c>
      <c r="F447" s="260">
        <v>5.97</v>
      </c>
      <c r="G447" s="260">
        <v>29.85</v>
      </c>
      <c r="H447" s="260">
        <v>0.01</v>
      </c>
      <c r="I447" s="260">
        <v>99.95</v>
      </c>
      <c r="J447" s="91"/>
      <c r="K447" s="91"/>
    </row>
    <row r="448" spans="1:11" ht="30">
      <c r="A448" s="260">
        <v>89801</v>
      </c>
      <c r="B448" s="260" t="s">
        <v>431</v>
      </c>
      <c r="C448" s="261" t="s">
        <v>240</v>
      </c>
      <c r="D448" s="260" t="s">
        <v>8</v>
      </c>
      <c r="E448" s="260">
        <v>4</v>
      </c>
      <c r="F448" s="260">
        <v>6.85</v>
      </c>
      <c r="G448" s="260">
        <v>27.4</v>
      </c>
      <c r="H448" s="260">
        <v>0.01</v>
      </c>
      <c r="I448" s="260">
        <v>99.96</v>
      </c>
      <c r="J448" s="91"/>
      <c r="K448" s="91"/>
    </row>
    <row r="449" spans="1:11" ht="45">
      <c r="A449" s="260">
        <v>89396</v>
      </c>
      <c r="B449" s="260" t="s">
        <v>431</v>
      </c>
      <c r="C449" s="261" t="s">
        <v>267</v>
      </c>
      <c r="D449" s="260" t="s">
        <v>8</v>
      </c>
      <c r="E449" s="260">
        <v>1</v>
      </c>
      <c r="F449" s="260">
        <v>22.57</v>
      </c>
      <c r="G449" s="260">
        <v>22.57</v>
      </c>
      <c r="H449" s="260">
        <v>0.01</v>
      </c>
      <c r="I449" s="260">
        <v>99.97</v>
      </c>
      <c r="J449" s="91"/>
      <c r="K449" s="91"/>
    </row>
    <row r="450" spans="1:11" ht="30">
      <c r="A450" s="260">
        <v>93655</v>
      </c>
      <c r="B450" s="260" t="s">
        <v>431</v>
      </c>
      <c r="C450" s="261" t="s">
        <v>294</v>
      </c>
      <c r="D450" s="260" t="s">
        <v>8</v>
      </c>
      <c r="E450" s="260">
        <v>1</v>
      </c>
      <c r="F450" s="260">
        <v>20.28</v>
      </c>
      <c r="G450" s="260">
        <v>20.28</v>
      </c>
      <c r="H450" s="260">
        <v>0.01</v>
      </c>
      <c r="I450" s="260">
        <v>99.98</v>
      </c>
      <c r="J450" s="91"/>
      <c r="K450" s="91"/>
    </row>
    <row r="451" spans="1:11">
      <c r="A451" s="260" t="s">
        <v>211</v>
      </c>
      <c r="B451" s="260" t="s">
        <v>427</v>
      </c>
      <c r="C451" s="261" t="s">
        <v>1096</v>
      </c>
      <c r="D451" s="260" t="s">
        <v>542</v>
      </c>
      <c r="E451" s="260">
        <v>2</v>
      </c>
      <c r="F451" s="260">
        <v>7.09</v>
      </c>
      <c r="G451" s="260">
        <v>14.18</v>
      </c>
      <c r="H451" s="260">
        <v>0.01</v>
      </c>
      <c r="I451" s="260">
        <v>99.99</v>
      </c>
      <c r="J451" s="91"/>
      <c r="K451" s="91"/>
    </row>
    <row r="452" spans="1:11" ht="45">
      <c r="A452" s="260">
        <v>89383</v>
      </c>
      <c r="B452" s="260" t="s">
        <v>431</v>
      </c>
      <c r="C452" s="261" t="s">
        <v>269</v>
      </c>
      <c r="D452" s="260" t="s">
        <v>8</v>
      </c>
      <c r="E452" s="260">
        <v>2</v>
      </c>
      <c r="F452" s="260">
        <v>6.32</v>
      </c>
      <c r="G452" s="260">
        <v>12.64</v>
      </c>
      <c r="H452" s="260">
        <v>0.01</v>
      </c>
      <c r="I452" s="260">
        <v>99.99</v>
      </c>
      <c r="J452" s="91"/>
      <c r="K452" s="91"/>
    </row>
    <row r="453" spans="1:11" ht="30">
      <c r="A453" s="260">
        <v>89732</v>
      </c>
      <c r="B453" s="260" t="s">
        <v>431</v>
      </c>
      <c r="C453" s="261" t="s">
        <v>236</v>
      </c>
      <c r="D453" s="260" t="s">
        <v>8</v>
      </c>
      <c r="E453" s="260">
        <v>1</v>
      </c>
      <c r="F453" s="260">
        <v>11.27</v>
      </c>
      <c r="G453" s="260">
        <v>11.27</v>
      </c>
      <c r="H453" s="260">
        <v>0.01</v>
      </c>
      <c r="I453" s="260">
        <v>100</v>
      </c>
      <c r="J453" s="91"/>
      <c r="K453" s="91"/>
    </row>
    <row r="454" spans="1:11">
      <c r="A454" s="260" t="s">
        <v>14</v>
      </c>
      <c r="B454" s="260" t="s">
        <v>427</v>
      </c>
      <c r="C454" s="261" t="s">
        <v>15</v>
      </c>
      <c r="D454" s="260" t="s">
        <v>16</v>
      </c>
      <c r="E454" s="263">
        <v>5.0000000000000001E-3</v>
      </c>
      <c r="F454" s="260">
        <v>0</v>
      </c>
      <c r="G454" s="260">
        <v>0</v>
      </c>
      <c r="H454" s="260">
        <v>0</v>
      </c>
      <c r="I454" s="260">
        <v>100</v>
      </c>
      <c r="J454" s="91"/>
      <c r="K454" s="91"/>
    </row>
  </sheetData>
  <mergeCells count="16">
    <mergeCell ref="J1:K1"/>
    <mergeCell ref="A2:I2"/>
    <mergeCell ref="J2:K2"/>
    <mergeCell ref="A3:A4"/>
    <mergeCell ref="B3:B4"/>
    <mergeCell ref="C3:C4"/>
    <mergeCell ref="D3:D4"/>
    <mergeCell ref="G3:H3"/>
    <mergeCell ref="I3:I4"/>
    <mergeCell ref="J3:J4"/>
    <mergeCell ref="K3:K4"/>
    <mergeCell ref="A345:G345"/>
    <mergeCell ref="H345:I345"/>
    <mergeCell ref="A346:G346"/>
    <mergeCell ref="H346:I346"/>
    <mergeCell ref="A1:I1"/>
  </mergeCells>
  <printOptions horizontalCentered="1" gridLines="1"/>
  <pageMargins left="0.7" right="0.7" top="0.75" bottom="0.75" header="0.51180555555555496" footer="0.51180555555555496"/>
  <pageSetup paperSize="0" scale="0" firstPageNumber="0" fitToHeight="0" pageOrder="overThenDown"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5"/>
  <sheetViews>
    <sheetView zoomScaleNormal="100" workbookViewId="0">
      <selection sqref="A1:F1"/>
    </sheetView>
  </sheetViews>
  <sheetFormatPr defaultRowHeight="15"/>
  <cols>
    <col min="1" max="2" width="14.140625"/>
    <col min="3" max="3" width="20.42578125"/>
    <col min="4" max="4" width="17.28515625"/>
    <col min="5" max="1025" width="14.140625"/>
  </cols>
  <sheetData>
    <row r="1" spans="1:6">
      <c r="A1" s="347" t="s">
        <v>1909</v>
      </c>
      <c r="B1" s="347"/>
      <c r="C1" s="347"/>
      <c r="D1" s="347"/>
      <c r="E1" s="347"/>
      <c r="F1" s="347"/>
    </row>
    <row r="2" spans="1:6">
      <c r="A2" s="348" t="s">
        <v>1910</v>
      </c>
      <c r="B2" s="348"/>
      <c r="C2" s="348"/>
      <c r="D2" s="348"/>
      <c r="E2" s="348"/>
      <c r="F2" s="348"/>
    </row>
    <row r="3" spans="1:6">
      <c r="A3" s="344" t="s">
        <v>1022</v>
      </c>
      <c r="B3" s="344"/>
      <c r="C3" s="344"/>
      <c r="D3" s="344"/>
      <c r="E3" s="344"/>
      <c r="F3" s="344"/>
    </row>
    <row r="4" spans="1:6" ht="16.5" customHeight="1">
      <c r="A4" s="264" t="s">
        <v>6</v>
      </c>
      <c r="B4" s="265" t="s">
        <v>1911</v>
      </c>
      <c r="C4" s="265" t="s">
        <v>1912</v>
      </c>
      <c r="D4" s="266" t="s">
        <v>1913</v>
      </c>
      <c r="E4" s="266" t="s">
        <v>1914</v>
      </c>
      <c r="F4" s="266" t="s">
        <v>11</v>
      </c>
    </row>
    <row r="5" spans="1:6" ht="15" customHeight="1">
      <c r="A5" s="345" t="s">
        <v>1915</v>
      </c>
      <c r="B5" s="267" t="s">
        <v>1916</v>
      </c>
      <c r="C5" s="267" t="s">
        <v>1917</v>
      </c>
      <c r="D5" s="268" t="s">
        <v>1918</v>
      </c>
      <c r="E5" s="268" t="s">
        <v>1919</v>
      </c>
      <c r="F5" s="268" t="s">
        <v>1920</v>
      </c>
    </row>
    <row r="6" spans="1:6">
      <c r="A6" s="345"/>
      <c r="B6" s="267" t="s">
        <v>1921</v>
      </c>
      <c r="C6" s="267" t="s">
        <v>1922</v>
      </c>
      <c r="D6" s="268" t="s">
        <v>1923</v>
      </c>
      <c r="E6" s="268" t="s">
        <v>1924</v>
      </c>
      <c r="F6" s="268" t="s">
        <v>1925</v>
      </c>
    </row>
    <row r="7" spans="1:6">
      <c r="A7" s="345"/>
      <c r="B7" s="267" t="s">
        <v>1926</v>
      </c>
      <c r="C7" s="267" t="s">
        <v>1927</v>
      </c>
      <c r="D7" s="267" t="s">
        <v>1928</v>
      </c>
      <c r="E7" s="267" t="s">
        <v>1929</v>
      </c>
      <c r="F7" s="268" t="s">
        <v>1930</v>
      </c>
    </row>
    <row r="8" spans="1:6">
      <c r="A8" s="345"/>
      <c r="B8" s="346" t="s">
        <v>1931</v>
      </c>
      <c r="C8" s="346"/>
      <c r="D8" s="346"/>
      <c r="E8" s="346"/>
      <c r="F8" s="265" t="s">
        <v>1932</v>
      </c>
    </row>
    <row r="9" spans="1:6">
      <c r="A9" s="269"/>
      <c r="B9" s="269"/>
      <c r="C9" s="269"/>
      <c r="D9" s="269"/>
      <c r="E9" s="269"/>
      <c r="F9" s="54"/>
    </row>
    <row r="10" spans="1:6">
      <c r="A10" s="344" t="s">
        <v>1406</v>
      </c>
      <c r="B10" s="344"/>
      <c r="C10" s="344"/>
      <c r="D10" s="344"/>
      <c r="E10" s="344"/>
      <c r="F10" s="344"/>
    </row>
    <row r="11" spans="1:6">
      <c r="A11" s="264" t="s">
        <v>6</v>
      </c>
      <c r="B11" s="265" t="s">
        <v>1911</v>
      </c>
      <c r="C11" s="265" t="s">
        <v>1912</v>
      </c>
      <c r="D11" s="266" t="s">
        <v>1913</v>
      </c>
      <c r="E11" s="266" t="s">
        <v>1914</v>
      </c>
      <c r="F11" s="266" t="s">
        <v>11</v>
      </c>
    </row>
    <row r="12" spans="1:6" ht="15" customHeight="1">
      <c r="A12" s="345" t="s">
        <v>1933</v>
      </c>
      <c r="B12" s="267" t="s">
        <v>1916</v>
      </c>
      <c r="C12" s="267" t="s">
        <v>1934</v>
      </c>
      <c r="D12" s="268" t="s">
        <v>1935</v>
      </c>
      <c r="E12" s="268" t="s">
        <v>1936</v>
      </c>
      <c r="F12" s="268" t="s">
        <v>1937</v>
      </c>
    </row>
    <row r="13" spans="1:6">
      <c r="A13" s="345"/>
      <c r="B13" s="267" t="s">
        <v>1921</v>
      </c>
      <c r="C13" s="267" t="s">
        <v>1938</v>
      </c>
      <c r="D13" s="267" t="s">
        <v>1939</v>
      </c>
      <c r="E13" s="267" t="s">
        <v>1940</v>
      </c>
      <c r="F13" s="268" t="s">
        <v>1941</v>
      </c>
    </row>
    <row r="14" spans="1:6">
      <c r="A14" s="345"/>
      <c r="B14" s="267" t="s">
        <v>1926</v>
      </c>
      <c r="C14" s="267" t="s">
        <v>1942</v>
      </c>
      <c r="D14" s="267" t="s">
        <v>1943</v>
      </c>
      <c r="E14" s="267" t="s">
        <v>1944</v>
      </c>
      <c r="F14" s="267" t="s">
        <v>1945</v>
      </c>
    </row>
    <row r="15" spans="1:6">
      <c r="A15" s="345"/>
      <c r="B15" s="346" t="s">
        <v>1931</v>
      </c>
      <c r="C15" s="346"/>
      <c r="D15" s="346"/>
      <c r="E15" s="346"/>
      <c r="F15" s="265" t="s">
        <v>1946</v>
      </c>
    </row>
  </sheetData>
  <mergeCells count="8">
    <mergeCell ref="A10:F10"/>
    <mergeCell ref="A12:A15"/>
    <mergeCell ref="B15:E15"/>
    <mergeCell ref="A1:F1"/>
    <mergeCell ref="A2:F2"/>
    <mergeCell ref="A3:F3"/>
    <mergeCell ref="A5:A8"/>
    <mergeCell ref="B8:E8"/>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1</vt:i4>
      </vt:variant>
    </vt:vector>
  </HeadingPairs>
  <TitlesOfParts>
    <vt:vector size="9" baseType="lpstr">
      <vt:lpstr>Sintetica (não desonerado)</vt:lpstr>
      <vt:lpstr>Analítica (não desonerado)</vt:lpstr>
      <vt:lpstr>Cronograma (não desonerado)</vt:lpstr>
      <vt:lpstr>BDI (não desonerado)</vt:lpstr>
      <vt:lpstr>Sintética (desonerada)</vt:lpstr>
      <vt:lpstr>BDI (DESONERADO)</vt:lpstr>
      <vt:lpstr>Curva ABC</vt:lpstr>
      <vt:lpstr>Pesquisa de mercado</vt:lpstr>
      <vt:lpstr>'Cronograma (não desonerado)'!Print_Area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VICENTE ROCHA</dc:creator>
  <dc:description/>
  <cp:lastModifiedBy>Usuário</cp:lastModifiedBy>
  <cp:revision>1</cp:revision>
  <dcterms:created xsi:type="dcterms:W3CDTF">2009-06-21T20:50:24Z</dcterms:created>
  <dcterms:modified xsi:type="dcterms:W3CDTF">2022-08-02T14:11:49Z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1046-11.2.0.9684</vt:lpwstr>
  </property>
</Properties>
</file>